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0"/>
  <workbookPr/>
  <mc:AlternateContent xmlns:mc="http://schemas.openxmlformats.org/markup-compatibility/2006">
    <mc:Choice Requires="x15">
      <x15ac:absPath xmlns:x15ac="http://schemas.microsoft.com/office/spreadsheetml/2010/11/ac" url="C:\Users\Kubikova\Documents\OMP\Veřejné zakázky\VZMR\2024\Tělocvična Řeznovice\"/>
    </mc:Choice>
  </mc:AlternateContent>
  <xr:revisionPtr revIDLastSave="0" documentId="13_ncr:1_{77201F2B-E0E8-4C0D-9A53-F25C16B1529F}" xr6:coauthVersionLast="36" xr6:coauthVersionMax="36" xr10:uidLastSave="{00000000-0000-0000-0000-000000000000}"/>
  <bookViews>
    <workbookView xWindow="-38520" yWindow="-120" windowWidth="38640" windowHeight="21240" xr2:uid="{00000000-000D-0000-FFFF-FFFF00000000}"/>
  </bookViews>
  <sheets>
    <sheet name="Krycí list rozpočtu" sheetId="2" r:id="rId1"/>
    <sheet name="Stavební rozpočet" sheetId="1" r:id="rId2"/>
    <sheet name="VORN" sheetId="3" state="hidden" r:id="rId3"/>
  </sheets>
  <definedNames>
    <definedName name="vorn_sum">VORN!$I$36</definedName>
  </definedNames>
  <calcPr calcId="191029"/>
</workbook>
</file>

<file path=xl/calcChain.xml><?xml version="1.0" encoding="utf-8"?>
<calcChain xmlns="http://schemas.openxmlformats.org/spreadsheetml/2006/main">
  <c r="I35" i="3" l="1"/>
  <c r="I36" i="3" s="1"/>
  <c r="I24" i="2" s="1"/>
  <c r="I26" i="3"/>
  <c r="I19" i="2" s="1"/>
  <c r="I25" i="3"/>
  <c r="I18" i="2" s="1"/>
  <c r="I24" i="3"/>
  <c r="I23" i="3"/>
  <c r="I22" i="3"/>
  <c r="I15" i="2" s="1"/>
  <c r="I21" i="3"/>
  <c r="I14" i="2" s="1"/>
  <c r="I17" i="3"/>
  <c r="I18" i="3" s="1"/>
  <c r="I16" i="3"/>
  <c r="I15" i="3"/>
  <c r="I10" i="3"/>
  <c r="F10" i="3"/>
  <c r="C10" i="3"/>
  <c r="F8" i="3"/>
  <c r="C8" i="3"/>
  <c r="F6" i="3"/>
  <c r="C6" i="3"/>
  <c r="F4" i="3"/>
  <c r="C4" i="3"/>
  <c r="F2" i="3"/>
  <c r="C2" i="3"/>
  <c r="I17" i="2"/>
  <c r="I16" i="2"/>
  <c r="F16" i="2"/>
  <c r="F22" i="2" s="1"/>
  <c r="F15" i="2"/>
  <c r="F14" i="2"/>
  <c r="I10" i="2"/>
  <c r="F10" i="2"/>
  <c r="C10" i="2"/>
  <c r="F8" i="2"/>
  <c r="C8" i="2"/>
  <c r="F6" i="2"/>
  <c r="C6" i="2"/>
  <c r="F4" i="2"/>
  <c r="C4" i="2"/>
  <c r="F2" i="2"/>
  <c r="C2" i="2"/>
  <c r="BJ157" i="1"/>
  <c r="BF157" i="1"/>
  <c r="BD157" i="1"/>
  <c r="AP157" i="1"/>
  <c r="AO157" i="1"/>
  <c r="AK157" i="1"/>
  <c r="AJ157" i="1"/>
  <c r="AH157" i="1"/>
  <c r="AE157" i="1"/>
  <c r="AD157" i="1"/>
  <c r="AC157" i="1"/>
  <c r="AB157" i="1"/>
  <c r="Z157" i="1"/>
  <c r="J157" i="1"/>
  <c r="AL157" i="1" s="1"/>
  <c r="I157" i="1"/>
  <c r="BJ154" i="1"/>
  <c r="BF154" i="1"/>
  <c r="BD154" i="1"/>
  <c r="AP154" i="1"/>
  <c r="AO154" i="1"/>
  <c r="AW154" i="1" s="1"/>
  <c r="AK154" i="1"/>
  <c r="AJ154" i="1"/>
  <c r="AH154" i="1"/>
  <c r="AE154" i="1"/>
  <c r="AD154" i="1"/>
  <c r="AC154" i="1"/>
  <c r="AB154" i="1"/>
  <c r="Z154" i="1"/>
  <c r="J154" i="1"/>
  <c r="BJ151" i="1"/>
  <c r="BH151" i="1"/>
  <c r="AF151" i="1" s="1"/>
  <c r="BF151" i="1"/>
  <c r="BD151" i="1"/>
  <c r="AP151" i="1"/>
  <c r="AX151" i="1" s="1"/>
  <c r="AO151" i="1"/>
  <c r="H151" i="1" s="1"/>
  <c r="AL151" i="1"/>
  <c r="AK151" i="1"/>
  <c r="AJ151" i="1"/>
  <c r="AH151" i="1"/>
  <c r="AE151" i="1"/>
  <c r="AD151" i="1"/>
  <c r="AC151" i="1"/>
  <c r="AB151" i="1"/>
  <c r="Z151" i="1"/>
  <c r="J151" i="1"/>
  <c r="I151" i="1"/>
  <c r="AS150" i="1"/>
  <c r="BJ148" i="1"/>
  <c r="Z148" i="1" s="1"/>
  <c r="BI148" i="1"/>
  <c r="BF148" i="1"/>
  <c r="BD148" i="1"/>
  <c r="AP148" i="1"/>
  <c r="I148" i="1" s="1"/>
  <c r="AO148" i="1"/>
  <c r="AW148" i="1" s="1"/>
  <c r="AK148" i="1"/>
  <c r="AJ148" i="1"/>
  <c r="AH148" i="1"/>
  <c r="AG148" i="1"/>
  <c r="AF148" i="1"/>
  <c r="AE148" i="1"/>
  <c r="AD148" i="1"/>
  <c r="AC148" i="1"/>
  <c r="AB148" i="1"/>
  <c r="J148" i="1"/>
  <c r="BJ145" i="1"/>
  <c r="BF145" i="1"/>
  <c r="BD145" i="1"/>
  <c r="AP145" i="1"/>
  <c r="AO145" i="1"/>
  <c r="AW145" i="1" s="1"/>
  <c r="AK145" i="1"/>
  <c r="AT144" i="1" s="1"/>
  <c r="AJ145" i="1"/>
  <c r="AS144" i="1" s="1"/>
  <c r="AH145" i="1"/>
  <c r="AG145" i="1"/>
  <c r="AF145" i="1"/>
  <c r="AE145" i="1"/>
  <c r="AD145" i="1"/>
  <c r="Z145" i="1"/>
  <c r="J145" i="1"/>
  <c r="AL145" i="1" s="1"/>
  <c r="H145" i="1"/>
  <c r="BJ141" i="1"/>
  <c r="BI141" i="1"/>
  <c r="BF141" i="1"/>
  <c r="BD141" i="1"/>
  <c r="AX141" i="1"/>
  <c r="AP141" i="1"/>
  <c r="AO141" i="1"/>
  <c r="AL141" i="1"/>
  <c r="AK141" i="1"/>
  <c r="AJ141" i="1"/>
  <c r="AH141" i="1"/>
  <c r="AG141" i="1"/>
  <c r="AF141" i="1"/>
  <c r="AE141" i="1"/>
  <c r="AD141" i="1"/>
  <c r="AC141" i="1"/>
  <c r="Z141" i="1"/>
  <c r="J141" i="1"/>
  <c r="I141" i="1"/>
  <c r="BJ138" i="1"/>
  <c r="BI138" i="1"/>
  <c r="BF138" i="1"/>
  <c r="BD138" i="1"/>
  <c r="AP138" i="1"/>
  <c r="AX138" i="1" s="1"/>
  <c r="AO138" i="1"/>
  <c r="AL138" i="1"/>
  <c r="AK138" i="1"/>
  <c r="AJ138" i="1"/>
  <c r="AH138" i="1"/>
  <c r="AG138" i="1"/>
  <c r="AF138" i="1"/>
  <c r="AE138" i="1"/>
  <c r="AD138" i="1"/>
  <c r="AC138" i="1"/>
  <c r="Z138" i="1"/>
  <c r="J138" i="1"/>
  <c r="I138" i="1"/>
  <c r="BJ135" i="1"/>
  <c r="BH135" i="1"/>
  <c r="AB135" i="1" s="1"/>
  <c r="BF135" i="1"/>
  <c r="BD135" i="1"/>
  <c r="AP135" i="1"/>
  <c r="AX135" i="1" s="1"/>
  <c r="AO135" i="1"/>
  <c r="AK135" i="1"/>
  <c r="AJ135" i="1"/>
  <c r="AH135" i="1"/>
  <c r="AG135" i="1"/>
  <c r="AF135" i="1"/>
  <c r="AE135" i="1"/>
  <c r="AD135" i="1"/>
  <c r="Z135" i="1"/>
  <c r="J135" i="1"/>
  <c r="BJ132" i="1"/>
  <c r="BF132" i="1"/>
  <c r="BD132" i="1"/>
  <c r="AW132" i="1"/>
  <c r="BC132" i="1" s="1"/>
  <c r="AV132" i="1"/>
  <c r="AP132" i="1"/>
  <c r="AX132" i="1" s="1"/>
  <c r="AO132" i="1"/>
  <c r="H132" i="1" s="1"/>
  <c r="AL132" i="1"/>
  <c r="AK132" i="1"/>
  <c r="AJ132" i="1"/>
  <c r="AH132" i="1"/>
  <c r="AG132" i="1"/>
  <c r="AF132" i="1"/>
  <c r="AE132" i="1"/>
  <c r="AD132" i="1"/>
  <c r="Z132" i="1"/>
  <c r="J132" i="1"/>
  <c r="I132" i="1"/>
  <c r="AT131" i="1"/>
  <c r="BJ129" i="1"/>
  <c r="BI129" i="1"/>
  <c r="AC129" i="1" s="1"/>
  <c r="BF129" i="1"/>
  <c r="BD129" i="1"/>
  <c r="AP129" i="1"/>
  <c r="I129" i="1" s="1"/>
  <c r="AO129" i="1"/>
  <c r="AK129" i="1"/>
  <c r="AJ129" i="1"/>
  <c r="AH129" i="1"/>
  <c r="AG129" i="1"/>
  <c r="AF129" i="1"/>
  <c r="AE129" i="1"/>
  <c r="AD129" i="1"/>
  <c r="Z129" i="1"/>
  <c r="J129" i="1"/>
  <c r="BJ126" i="1"/>
  <c r="BH126" i="1"/>
  <c r="AB126" i="1" s="1"/>
  <c r="BF126" i="1"/>
  <c r="BD126" i="1"/>
  <c r="AP126" i="1"/>
  <c r="BI126" i="1" s="1"/>
  <c r="AC126" i="1" s="1"/>
  <c r="AO126" i="1"/>
  <c r="AW126" i="1" s="1"/>
  <c r="AL126" i="1"/>
  <c r="AK126" i="1"/>
  <c r="AJ126" i="1"/>
  <c r="AH126" i="1"/>
  <c r="AG126" i="1"/>
  <c r="AF126" i="1"/>
  <c r="AE126" i="1"/>
  <c r="AD126" i="1"/>
  <c r="Z126" i="1"/>
  <c r="J126" i="1"/>
  <c r="H126" i="1"/>
  <c r="BJ123" i="1"/>
  <c r="BF123" i="1"/>
  <c r="BD123" i="1"/>
  <c r="AP123" i="1"/>
  <c r="AX123" i="1" s="1"/>
  <c r="AO123" i="1"/>
  <c r="H123" i="1" s="1"/>
  <c r="AK123" i="1"/>
  <c r="AJ123" i="1"/>
  <c r="AH123" i="1"/>
  <c r="AG123" i="1"/>
  <c r="AF123" i="1"/>
  <c r="AE123" i="1"/>
  <c r="AD123" i="1"/>
  <c r="Z123" i="1"/>
  <c r="J123" i="1"/>
  <c r="AL123" i="1" s="1"/>
  <c r="I123" i="1"/>
  <c r="BJ120" i="1"/>
  <c r="BF120" i="1"/>
  <c r="BD120" i="1"/>
  <c r="AW120" i="1"/>
  <c r="AP120" i="1"/>
  <c r="AO120" i="1"/>
  <c r="AK120" i="1"/>
  <c r="AJ120" i="1"/>
  <c r="AH120" i="1"/>
  <c r="AG120" i="1"/>
  <c r="AF120" i="1"/>
  <c r="AE120" i="1"/>
  <c r="AD120" i="1"/>
  <c r="Z120" i="1"/>
  <c r="J120" i="1"/>
  <c r="AL120" i="1" s="1"/>
  <c r="BJ115" i="1"/>
  <c r="BF115" i="1"/>
  <c r="BD115" i="1"/>
  <c r="AP115" i="1"/>
  <c r="AO115" i="1"/>
  <c r="AW115" i="1" s="1"/>
  <c r="AK115" i="1"/>
  <c r="AJ115" i="1"/>
  <c r="AH115" i="1"/>
  <c r="AG115" i="1"/>
  <c r="AF115" i="1"/>
  <c r="AC115" i="1"/>
  <c r="AB115" i="1"/>
  <c r="Z115" i="1"/>
  <c r="J115" i="1"/>
  <c r="BJ111" i="1"/>
  <c r="BH111" i="1"/>
  <c r="AD111" i="1" s="1"/>
  <c r="BF111" i="1"/>
  <c r="BD111" i="1"/>
  <c r="AW111" i="1"/>
  <c r="AP111" i="1"/>
  <c r="I111" i="1" s="1"/>
  <c r="AO111" i="1"/>
  <c r="H111" i="1" s="1"/>
  <c r="AK111" i="1"/>
  <c r="AJ111" i="1"/>
  <c r="AS110" i="1" s="1"/>
  <c r="AH111" i="1"/>
  <c r="AG111" i="1"/>
  <c r="AF111" i="1"/>
  <c r="AC111" i="1"/>
  <c r="AB111" i="1"/>
  <c r="Z111" i="1"/>
  <c r="J111" i="1"/>
  <c r="AL111" i="1" s="1"/>
  <c r="AT110" i="1"/>
  <c r="BJ105" i="1"/>
  <c r="BF105" i="1"/>
  <c r="BD105" i="1"/>
  <c r="AP105" i="1"/>
  <c r="I105" i="1" s="1"/>
  <c r="AO105" i="1"/>
  <c r="H105" i="1" s="1"/>
  <c r="AK105" i="1"/>
  <c r="AJ105" i="1"/>
  <c r="AH105" i="1"/>
  <c r="AG105" i="1"/>
  <c r="AF105" i="1"/>
  <c r="AC105" i="1"/>
  <c r="AB105" i="1"/>
  <c r="Z105" i="1"/>
  <c r="J105" i="1"/>
  <c r="BJ103" i="1"/>
  <c r="BH103" i="1"/>
  <c r="AD103" i="1" s="1"/>
  <c r="BF103" i="1"/>
  <c r="BD103" i="1"/>
  <c r="AW103" i="1"/>
  <c r="AP103" i="1"/>
  <c r="BI103" i="1" s="1"/>
  <c r="AE103" i="1" s="1"/>
  <c r="AO103" i="1"/>
  <c r="AK103" i="1"/>
  <c r="AT102" i="1" s="1"/>
  <c r="AJ103" i="1"/>
  <c r="AS102" i="1" s="1"/>
  <c r="AH103" i="1"/>
  <c r="AG103" i="1"/>
  <c r="AF103" i="1"/>
  <c r="AC103" i="1"/>
  <c r="AB103" i="1"/>
  <c r="Z103" i="1"/>
  <c r="J103" i="1"/>
  <c r="AL103" i="1" s="1"/>
  <c r="H103" i="1"/>
  <c r="BJ100" i="1"/>
  <c r="Z100" i="1" s="1"/>
  <c r="BF100" i="1"/>
  <c r="BD100" i="1"/>
  <c r="AP100" i="1"/>
  <c r="BI100" i="1" s="1"/>
  <c r="AO100" i="1"/>
  <c r="AW100" i="1" s="1"/>
  <c r="AK100" i="1"/>
  <c r="AJ100" i="1"/>
  <c r="AH100" i="1"/>
  <c r="AG100" i="1"/>
  <c r="AF100" i="1"/>
  <c r="AE100" i="1"/>
  <c r="AD100" i="1"/>
  <c r="AC100" i="1"/>
  <c r="AB100" i="1"/>
  <c r="J100" i="1"/>
  <c r="AL100" i="1" s="1"/>
  <c r="I100" i="1"/>
  <c r="BJ97" i="1"/>
  <c r="BF97" i="1"/>
  <c r="BD97" i="1"/>
  <c r="AW97" i="1"/>
  <c r="AP97" i="1"/>
  <c r="AO97" i="1"/>
  <c r="AL97" i="1"/>
  <c r="AK97" i="1"/>
  <c r="AJ97" i="1"/>
  <c r="AH97" i="1"/>
  <c r="AG97" i="1"/>
  <c r="AF97" i="1"/>
  <c r="AE97" i="1"/>
  <c r="AD97" i="1"/>
  <c r="AC97" i="1"/>
  <c r="AB97" i="1"/>
  <c r="Z97" i="1"/>
  <c r="J97" i="1"/>
  <c r="BJ95" i="1"/>
  <c r="BF95" i="1"/>
  <c r="BD95" i="1"/>
  <c r="AP95" i="1"/>
  <c r="AX95" i="1" s="1"/>
  <c r="AV95" i="1" s="1"/>
  <c r="AO95" i="1"/>
  <c r="AW95" i="1" s="1"/>
  <c r="AK95" i="1"/>
  <c r="AJ95" i="1"/>
  <c r="AH95" i="1"/>
  <c r="AG95" i="1"/>
  <c r="AF95" i="1"/>
  <c r="AC95" i="1"/>
  <c r="AB95" i="1"/>
  <c r="Z95" i="1"/>
  <c r="J95" i="1"/>
  <c r="AL95" i="1" s="1"/>
  <c r="H95" i="1"/>
  <c r="BJ92" i="1"/>
  <c r="BF92" i="1"/>
  <c r="BD92" i="1"/>
  <c r="AP92" i="1"/>
  <c r="AX92" i="1" s="1"/>
  <c r="AO92" i="1"/>
  <c r="AW92" i="1" s="1"/>
  <c r="AK92" i="1"/>
  <c r="AJ92" i="1"/>
  <c r="AH92" i="1"/>
  <c r="AG92" i="1"/>
  <c r="AF92" i="1"/>
  <c r="AC92" i="1"/>
  <c r="AB92" i="1"/>
  <c r="Z92" i="1"/>
  <c r="J92" i="1"/>
  <c r="AL92" i="1" s="1"/>
  <c r="I92" i="1"/>
  <c r="H92" i="1"/>
  <c r="BJ90" i="1"/>
  <c r="Z90" i="1" s="1"/>
  <c r="BF90" i="1"/>
  <c r="BD90" i="1"/>
  <c r="AP90" i="1"/>
  <c r="AX90" i="1" s="1"/>
  <c r="AO90" i="1"/>
  <c r="AW90" i="1" s="1"/>
  <c r="AK90" i="1"/>
  <c r="AJ90" i="1"/>
  <c r="AH90" i="1"/>
  <c r="AG90" i="1"/>
  <c r="AF90" i="1"/>
  <c r="AE90" i="1"/>
  <c r="AD90" i="1"/>
  <c r="AC90" i="1"/>
  <c r="AB90" i="1"/>
  <c r="J90" i="1"/>
  <c r="I90" i="1"/>
  <c r="H90" i="1"/>
  <c r="BJ87" i="1"/>
  <c r="BF87" i="1"/>
  <c r="BD87" i="1"/>
  <c r="AW87" i="1"/>
  <c r="AP87" i="1"/>
  <c r="AO87" i="1"/>
  <c r="BH87" i="1" s="1"/>
  <c r="AD87" i="1" s="1"/>
  <c r="AK87" i="1"/>
  <c r="AJ87" i="1"/>
  <c r="AH87" i="1"/>
  <c r="AG87" i="1"/>
  <c r="AF87" i="1"/>
  <c r="AC87" i="1"/>
  <c r="AB87" i="1"/>
  <c r="Z87" i="1"/>
  <c r="J87" i="1"/>
  <c r="AL87" i="1" s="1"/>
  <c r="H87" i="1"/>
  <c r="BJ82" i="1"/>
  <c r="BF82" i="1"/>
  <c r="BD82" i="1"/>
  <c r="AP82" i="1"/>
  <c r="BI82" i="1" s="1"/>
  <c r="AE82" i="1" s="1"/>
  <c r="AO82" i="1"/>
  <c r="BH82" i="1" s="1"/>
  <c r="AD82" i="1" s="1"/>
  <c r="AK82" i="1"/>
  <c r="AJ82" i="1"/>
  <c r="AH82" i="1"/>
  <c r="AG82" i="1"/>
  <c r="AF82" i="1"/>
  <c r="AC82" i="1"/>
  <c r="AB82" i="1"/>
  <c r="Z82" i="1"/>
  <c r="J82" i="1"/>
  <c r="AL82" i="1" s="1"/>
  <c r="BJ79" i="1"/>
  <c r="BF79" i="1"/>
  <c r="BD79" i="1"/>
  <c r="AW79" i="1"/>
  <c r="AP79" i="1"/>
  <c r="AO79" i="1"/>
  <c r="AL79" i="1"/>
  <c r="AK79" i="1"/>
  <c r="AJ79" i="1"/>
  <c r="AH79" i="1"/>
  <c r="AG79" i="1"/>
  <c r="AF79" i="1"/>
  <c r="AC79" i="1"/>
  <c r="AB79" i="1"/>
  <c r="Z79" i="1"/>
  <c r="J79" i="1"/>
  <c r="BJ77" i="1"/>
  <c r="Z77" i="1" s="1"/>
  <c r="BF77" i="1"/>
  <c r="BD77" i="1"/>
  <c r="AP77" i="1"/>
  <c r="AO77" i="1"/>
  <c r="AW77" i="1" s="1"/>
  <c r="AK77" i="1"/>
  <c r="AJ77" i="1"/>
  <c r="AH77" i="1"/>
  <c r="AG77" i="1"/>
  <c r="AF77" i="1"/>
  <c r="AE77" i="1"/>
  <c r="AD77" i="1"/>
  <c r="AC77" i="1"/>
  <c r="AB77" i="1"/>
  <c r="J77" i="1"/>
  <c r="AL77" i="1" s="1"/>
  <c r="BJ75" i="1"/>
  <c r="BF75" i="1"/>
  <c r="BD75" i="1"/>
  <c r="AW75" i="1"/>
  <c r="BC75" i="1" s="1"/>
  <c r="AP75" i="1"/>
  <c r="AX75" i="1" s="1"/>
  <c r="AO75" i="1"/>
  <c r="BH75" i="1" s="1"/>
  <c r="AK75" i="1"/>
  <c r="AT67" i="1" s="1"/>
  <c r="AJ75" i="1"/>
  <c r="AH75" i="1"/>
  <c r="AG75" i="1"/>
  <c r="AF75" i="1"/>
  <c r="AE75" i="1"/>
  <c r="AD75" i="1"/>
  <c r="AC75" i="1"/>
  <c r="AB75" i="1"/>
  <c r="Z75" i="1"/>
  <c r="J75" i="1"/>
  <c r="AL75" i="1" s="1"/>
  <c r="I75" i="1"/>
  <c r="H75" i="1"/>
  <c r="BJ73" i="1"/>
  <c r="BF73" i="1"/>
  <c r="BD73" i="1"/>
  <c r="AW73" i="1"/>
  <c r="AP73" i="1"/>
  <c r="AX73" i="1" s="1"/>
  <c r="AO73" i="1"/>
  <c r="BH73" i="1" s="1"/>
  <c r="AD73" i="1" s="1"/>
  <c r="AK73" i="1"/>
  <c r="AJ73" i="1"/>
  <c r="AH73" i="1"/>
  <c r="AG73" i="1"/>
  <c r="AF73" i="1"/>
  <c r="AC73" i="1"/>
  <c r="AB73" i="1"/>
  <c r="Z73" i="1"/>
  <c r="J73" i="1"/>
  <c r="H73" i="1"/>
  <c r="BJ70" i="1"/>
  <c r="BF70" i="1"/>
  <c r="BD70" i="1"/>
  <c r="AX70" i="1"/>
  <c r="AW70" i="1"/>
  <c r="AV70" i="1" s="1"/>
  <c r="AP70" i="1"/>
  <c r="BI70" i="1" s="1"/>
  <c r="AO70" i="1"/>
  <c r="BH70" i="1" s="1"/>
  <c r="AL70" i="1"/>
  <c r="AK70" i="1"/>
  <c r="AJ70" i="1"/>
  <c r="AH70" i="1"/>
  <c r="AG70" i="1"/>
  <c r="AF70" i="1"/>
  <c r="AE70" i="1"/>
  <c r="AD70" i="1"/>
  <c r="AC70" i="1"/>
  <c r="AB70" i="1"/>
  <c r="Z70" i="1"/>
  <c r="J70" i="1"/>
  <c r="I70" i="1"/>
  <c r="H70" i="1"/>
  <c r="BJ68" i="1"/>
  <c r="BF68" i="1"/>
  <c r="BD68" i="1"/>
  <c r="AP68" i="1"/>
  <c r="BI68" i="1" s="1"/>
  <c r="AE68" i="1" s="1"/>
  <c r="AO68" i="1"/>
  <c r="AW68" i="1" s="1"/>
  <c r="AK68" i="1"/>
  <c r="AJ68" i="1"/>
  <c r="AH68" i="1"/>
  <c r="AG68" i="1"/>
  <c r="AF68" i="1"/>
  <c r="AC68" i="1"/>
  <c r="AB68" i="1"/>
  <c r="Z68" i="1"/>
  <c r="J68" i="1"/>
  <c r="AL68" i="1" s="1"/>
  <c r="BJ64" i="1"/>
  <c r="BI64" i="1"/>
  <c r="AE64" i="1" s="1"/>
  <c r="BF64" i="1"/>
  <c r="BD64" i="1"/>
  <c r="AP64" i="1"/>
  <c r="AX64" i="1" s="1"/>
  <c r="AO64" i="1"/>
  <c r="AK64" i="1"/>
  <c r="AJ64" i="1"/>
  <c r="AS63" i="1" s="1"/>
  <c r="AH64" i="1"/>
  <c r="AG64" i="1"/>
  <c r="AF64" i="1"/>
  <c r="AC64" i="1"/>
  <c r="AB64" i="1"/>
  <c r="Z64" i="1"/>
  <c r="J64" i="1"/>
  <c r="J63" i="1" s="1"/>
  <c r="I64" i="1"/>
  <c r="I63" i="1" s="1"/>
  <c r="AT63" i="1"/>
  <c r="BJ59" i="1"/>
  <c r="BF59" i="1"/>
  <c r="BD59" i="1"/>
  <c r="AP59" i="1"/>
  <c r="AO59" i="1"/>
  <c r="AW59" i="1" s="1"/>
  <c r="AK59" i="1"/>
  <c r="AT58" i="1" s="1"/>
  <c r="AJ59" i="1"/>
  <c r="AH59" i="1"/>
  <c r="AG59" i="1"/>
  <c r="AF59" i="1"/>
  <c r="AE59" i="1"/>
  <c r="AD59" i="1"/>
  <c r="Z59" i="1"/>
  <c r="J59" i="1"/>
  <c r="AS58" i="1"/>
  <c r="BJ55" i="1"/>
  <c r="BH55" i="1"/>
  <c r="AB55" i="1" s="1"/>
  <c r="BF55" i="1"/>
  <c r="BD55" i="1"/>
  <c r="AP55" i="1"/>
  <c r="AO55" i="1"/>
  <c r="AW55" i="1" s="1"/>
  <c r="AL55" i="1"/>
  <c r="AK55" i="1"/>
  <c r="AJ55" i="1"/>
  <c r="AH55" i="1"/>
  <c r="AG55" i="1"/>
  <c r="AF55" i="1"/>
  <c r="AE55" i="1"/>
  <c r="AD55" i="1"/>
  <c r="Z55" i="1"/>
  <c r="J55" i="1"/>
  <c r="H55" i="1"/>
  <c r="BJ52" i="1"/>
  <c r="BF52" i="1"/>
  <c r="BD52" i="1"/>
  <c r="AX52" i="1"/>
  <c r="AW52" i="1"/>
  <c r="BC52" i="1" s="1"/>
  <c r="AP52" i="1"/>
  <c r="BI52" i="1" s="1"/>
  <c r="AC52" i="1" s="1"/>
  <c r="AO52" i="1"/>
  <c r="BH52" i="1" s="1"/>
  <c r="AB52" i="1" s="1"/>
  <c r="AK52" i="1"/>
  <c r="AJ52" i="1"/>
  <c r="AH52" i="1"/>
  <c r="AG52" i="1"/>
  <c r="AF52" i="1"/>
  <c r="AE52" i="1"/>
  <c r="AD52" i="1"/>
  <c r="Z52" i="1"/>
  <c r="J52" i="1"/>
  <c r="I52" i="1"/>
  <c r="AT51" i="1"/>
  <c r="BJ49" i="1"/>
  <c r="BI49" i="1"/>
  <c r="AC49" i="1" s="1"/>
  <c r="BF49" i="1"/>
  <c r="BD49" i="1"/>
  <c r="AP49" i="1"/>
  <c r="AO49" i="1"/>
  <c r="BH49" i="1" s="1"/>
  <c r="AB49" i="1" s="1"/>
  <c r="AL49" i="1"/>
  <c r="AK49" i="1"/>
  <c r="AJ49" i="1"/>
  <c r="AH49" i="1"/>
  <c r="AG49" i="1"/>
  <c r="AF49" i="1"/>
  <c r="AE49" i="1"/>
  <c r="AD49" i="1"/>
  <c r="Z49" i="1"/>
  <c r="J49" i="1"/>
  <c r="BJ47" i="1"/>
  <c r="BF47" i="1"/>
  <c r="BD47" i="1"/>
  <c r="AP47" i="1"/>
  <c r="BI47" i="1" s="1"/>
  <c r="AC47" i="1" s="1"/>
  <c r="AO47" i="1"/>
  <c r="AW47" i="1" s="1"/>
  <c r="AL47" i="1"/>
  <c r="AK47" i="1"/>
  <c r="AJ47" i="1"/>
  <c r="AH47" i="1"/>
  <c r="AG47" i="1"/>
  <c r="AF47" i="1"/>
  <c r="AE47" i="1"/>
  <c r="AD47" i="1"/>
  <c r="Z47" i="1"/>
  <c r="J47" i="1"/>
  <c r="I47" i="1"/>
  <c r="H47" i="1"/>
  <c r="J46" i="1"/>
  <c r="BJ43" i="1"/>
  <c r="BF43" i="1"/>
  <c r="BD43" i="1"/>
  <c r="AP43" i="1"/>
  <c r="AX43" i="1" s="1"/>
  <c r="AO43" i="1"/>
  <c r="AK43" i="1"/>
  <c r="AJ43" i="1"/>
  <c r="AH43" i="1"/>
  <c r="AG43" i="1"/>
  <c r="AF43" i="1"/>
  <c r="AE43" i="1"/>
  <c r="AD43" i="1"/>
  <c r="Z43" i="1"/>
  <c r="J43" i="1"/>
  <c r="AL43" i="1" s="1"/>
  <c r="I43" i="1"/>
  <c r="BJ39" i="1"/>
  <c r="BF39" i="1"/>
  <c r="BD39" i="1"/>
  <c r="AP39" i="1"/>
  <c r="AX39" i="1" s="1"/>
  <c r="AO39" i="1"/>
  <c r="AK39" i="1"/>
  <c r="AJ39" i="1"/>
  <c r="AH39" i="1"/>
  <c r="AG39" i="1"/>
  <c r="AF39" i="1"/>
  <c r="AE39" i="1"/>
  <c r="AD39" i="1"/>
  <c r="Z39" i="1"/>
  <c r="J39" i="1"/>
  <c r="BJ35" i="1"/>
  <c r="BH35" i="1"/>
  <c r="AB35" i="1" s="1"/>
  <c r="BF35" i="1"/>
  <c r="BD35" i="1"/>
  <c r="AW35" i="1"/>
  <c r="AP35" i="1"/>
  <c r="AX35" i="1" s="1"/>
  <c r="AO35" i="1"/>
  <c r="AK35" i="1"/>
  <c r="AJ35" i="1"/>
  <c r="AH35" i="1"/>
  <c r="AG35" i="1"/>
  <c r="AF35" i="1"/>
  <c r="AE35" i="1"/>
  <c r="AD35" i="1"/>
  <c r="Z35" i="1"/>
  <c r="J35" i="1"/>
  <c r="AL35" i="1" s="1"/>
  <c r="I35" i="1"/>
  <c r="H35" i="1"/>
  <c r="BJ31" i="1"/>
  <c r="BF31" i="1"/>
  <c r="BD31" i="1"/>
  <c r="AW31" i="1"/>
  <c r="AP31" i="1"/>
  <c r="BI31" i="1" s="1"/>
  <c r="AC31" i="1" s="1"/>
  <c r="AO31" i="1"/>
  <c r="BH31" i="1" s="1"/>
  <c r="AK31" i="1"/>
  <c r="AJ31" i="1"/>
  <c r="AH31" i="1"/>
  <c r="AG31" i="1"/>
  <c r="AF31" i="1"/>
  <c r="AE31" i="1"/>
  <c r="AD31" i="1"/>
  <c r="AB31" i="1"/>
  <c r="Z31" i="1"/>
  <c r="J31" i="1"/>
  <c r="AL31" i="1" s="1"/>
  <c r="H31" i="1"/>
  <c r="BJ27" i="1"/>
  <c r="BF27" i="1"/>
  <c r="BD27" i="1"/>
  <c r="AX27" i="1"/>
  <c r="AW27" i="1"/>
  <c r="AP27" i="1"/>
  <c r="BI27" i="1" s="1"/>
  <c r="AC27" i="1" s="1"/>
  <c r="AO27" i="1"/>
  <c r="BH27" i="1" s="1"/>
  <c r="AB27" i="1" s="1"/>
  <c r="AL27" i="1"/>
  <c r="AK27" i="1"/>
  <c r="AJ27" i="1"/>
  <c r="AH27" i="1"/>
  <c r="AG27" i="1"/>
  <c r="AF27" i="1"/>
  <c r="AE27" i="1"/>
  <c r="AD27" i="1"/>
  <c r="Z27" i="1"/>
  <c r="J27" i="1"/>
  <c r="I27" i="1"/>
  <c r="H27" i="1"/>
  <c r="BJ23" i="1"/>
  <c r="BI23" i="1"/>
  <c r="AC23" i="1" s="1"/>
  <c r="BF23" i="1"/>
  <c r="BD23" i="1"/>
  <c r="AX23" i="1"/>
  <c r="AP23" i="1"/>
  <c r="AO23" i="1"/>
  <c r="AK23" i="1"/>
  <c r="AT22" i="1" s="1"/>
  <c r="AJ23" i="1"/>
  <c r="AH23" i="1"/>
  <c r="AG23" i="1"/>
  <c r="AF23" i="1"/>
  <c r="AE23" i="1"/>
  <c r="AD23" i="1"/>
  <c r="Z23" i="1"/>
  <c r="J23" i="1"/>
  <c r="AL23" i="1" s="1"/>
  <c r="AU22" i="1" s="1"/>
  <c r="I23" i="1"/>
  <c r="J22" i="1"/>
  <c r="BJ19" i="1"/>
  <c r="BF19" i="1"/>
  <c r="BD19" i="1"/>
  <c r="AP19" i="1"/>
  <c r="AO19" i="1"/>
  <c r="H19" i="1" s="1"/>
  <c r="AK19" i="1"/>
  <c r="AJ19" i="1"/>
  <c r="AH19" i="1"/>
  <c r="AG19" i="1"/>
  <c r="AF19" i="1"/>
  <c r="AE19" i="1"/>
  <c r="AD19" i="1"/>
  <c r="Z19" i="1"/>
  <c r="J19" i="1"/>
  <c r="AL19" i="1" s="1"/>
  <c r="BJ16" i="1"/>
  <c r="BI16" i="1"/>
  <c r="AC16" i="1" s="1"/>
  <c r="BF16" i="1"/>
  <c r="BD16" i="1"/>
  <c r="AP16" i="1"/>
  <c r="AO16" i="1"/>
  <c r="AW16" i="1" s="1"/>
  <c r="AK16" i="1"/>
  <c r="AJ16" i="1"/>
  <c r="AH16" i="1"/>
  <c r="AG16" i="1"/>
  <c r="AF16" i="1"/>
  <c r="AE16" i="1"/>
  <c r="AD16" i="1"/>
  <c r="Z16" i="1"/>
  <c r="J16" i="1"/>
  <c r="AL16" i="1" s="1"/>
  <c r="AU15" i="1" s="1"/>
  <c r="AT15" i="1"/>
  <c r="BJ14" i="1"/>
  <c r="BH14" i="1"/>
  <c r="AF14" i="1" s="1"/>
  <c r="BF14" i="1"/>
  <c r="BD14" i="1"/>
  <c r="AW14" i="1"/>
  <c r="AP14" i="1"/>
  <c r="BI14" i="1" s="1"/>
  <c r="AG14" i="1" s="1"/>
  <c r="AO14" i="1"/>
  <c r="AL14" i="1"/>
  <c r="AK14" i="1"/>
  <c r="AJ14" i="1"/>
  <c r="AH14" i="1"/>
  <c r="AE14" i="1"/>
  <c r="AD14" i="1"/>
  <c r="AC14" i="1"/>
  <c r="AB14" i="1"/>
  <c r="Z14" i="1"/>
  <c r="J14" i="1"/>
  <c r="I14" i="1"/>
  <c r="I13" i="1" s="1"/>
  <c r="H14" i="1"/>
  <c r="AU13" i="1"/>
  <c r="AS13" i="1"/>
  <c r="J13" i="1"/>
  <c r="H13" i="1"/>
  <c r="AU1" i="1"/>
  <c r="AT1" i="1"/>
  <c r="AS1" i="1"/>
  <c r="I22" i="2" l="1"/>
  <c r="BH68" i="1"/>
  <c r="AD68" i="1" s="1"/>
  <c r="AT34" i="1"/>
  <c r="AU46" i="1"/>
  <c r="AW49" i="1"/>
  <c r="AV49" i="1" s="1"/>
  <c r="AT76" i="1"/>
  <c r="AX100" i="1"/>
  <c r="BC100" i="1" s="1"/>
  <c r="AS15" i="1"/>
  <c r="AX47" i="1"/>
  <c r="AS46" i="1"/>
  <c r="H52" i="1"/>
  <c r="H51" i="1" s="1"/>
  <c r="H68" i="1"/>
  <c r="BI90" i="1"/>
  <c r="I103" i="1"/>
  <c r="I102" i="1" s="1"/>
  <c r="AX105" i="1"/>
  <c r="AT119" i="1"/>
  <c r="AX129" i="1"/>
  <c r="BH132" i="1"/>
  <c r="AB132" i="1" s="1"/>
  <c r="AW151" i="1"/>
  <c r="BC151" i="1" s="1"/>
  <c r="AS22" i="1"/>
  <c r="H102" i="1"/>
  <c r="AW105" i="1"/>
  <c r="AS119" i="1"/>
  <c r="H154" i="1"/>
  <c r="AX14" i="1"/>
  <c r="AX31" i="1"/>
  <c r="AV35" i="1"/>
  <c r="AS34" i="1"/>
  <c r="BI43" i="1"/>
  <c r="AC43" i="1" s="1"/>
  <c r="AT46" i="1"/>
  <c r="AV52" i="1"/>
  <c r="BH59" i="1"/>
  <c r="AB59" i="1" s="1"/>
  <c r="I68" i="1"/>
  <c r="BI73" i="1"/>
  <c r="AE73" i="1" s="1"/>
  <c r="AV75" i="1"/>
  <c r="J76" i="1"/>
  <c r="AS76" i="1"/>
  <c r="BH92" i="1"/>
  <c r="AD92" i="1" s="1"/>
  <c r="H100" i="1"/>
  <c r="H115" i="1"/>
  <c r="H110" i="1" s="1"/>
  <c r="BI123" i="1"/>
  <c r="AC123" i="1" s="1"/>
  <c r="AX126" i="1"/>
  <c r="AV126" i="1" s="1"/>
  <c r="BI132" i="1"/>
  <c r="AC132" i="1" s="1"/>
  <c r="BH145" i="1"/>
  <c r="AB145" i="1" s="1"/>
  <c r="BH148" i="1"/>
  <c r="BH100" i="1"/>
  <c r="AT150" i="1"/>
  <c r="I73" i="1"/>
  <c r="I67" i="1" s="1"/>
  <c r="BC73" i="1"/>
  <c r="BC92" i="1"/>
  <c r="BH105" i="1"/>
  <c r="AD105" i="1" s="1"/>
  <c r="AS131" i="1"/>
  <c r="H148" i="1"/>
  <c r="AW19" i="1"/>
  <c r="I31" i="1"/>
  <c r="H49" i="1"/>
  <c r="H46" i="1" s="1"/>
  <c r="AL64" i="1"/>
  <c r="AU63" i="1" s="1"/>
  <c r="AX68" i="1"/>
  <c r="AV68" i="1" s="1"/>
  <c r="BC70" i="1"/>
  <c r="BH77" i="1"/>
  <c r="I82" i="1"/>
  <c r="AX82" i="1"/>
  <c r="AX103" i="1"/>
  <c r="AV103" i="1" s="1"/>
  <c r="BI105" i="1"/>
  <c r="AE105" i="1" s="1"/>
  <c r="I126" i="1"/>
  <c r="AX148" i="1"/>
  <c r="BC148" i="1" s="1"/>
  <c r="I27" i="3"/>
  <c r="BC31" i="1"/>
  <c r="AV31" i="1"/>
  <c r="C28" i="2"/>
  <c r="F28" i="2" s="1"/>
  <c r="AT13" i="1"/>
  <c r="J15" i="1"/>
  <c r="I87" i="1"/>
  <c r="AX87" i="1"/>
  <c r="BC90" i="1"/>
  <c r="AV90" i="1"/>
  <c r="AL105" i="1"/>
  <c r="AU102" i="1" s="1"/>
  <c r="J102" i="1"/>
  <c r="AL129" i="1"/>
  <c r="AU119" i="1" s="1"/>
  <c r="J119" i="1"/>
  <c r="I16" i="1"/>
  <c r="AX16" i="1"/>
  <c r="AV16" i="1" s="1"/>
  <c r="I49" i="1"/>
  <c r="I46" i="1" s="1"/>
  <c r="AX49" i="1"/>
  <c r="AX55" i="1"/>
  <c r="AV55" i="1" s="1"/>
  <c r="I55" i="1"/>
  <c r="I51" i="1" s="1"/>
  <c r="BI55" i="1"/>
  <c r="AC55" i="1" s="1"/>
  <c r="H67" i="1"/>
  <c r="BC87" i="1"/>
  <c r="H16" i="1"/>
  <c r="H15" i="1" s="1"/>
  <c r="AS86" i="1"/>
  <c r="AX97" i="1"/>
  <c r="AV97" i="1" s="1"/>
  <c r="BI97" i="1"/>
  <c r="I97" i="1"/>
  <c r="BI115" i="1"/>
  <c r="AE115" i="1" s="1"/>
  <c r="I115" i="1"/>
  <c r="I110" i="1" s="1"/>
  <c r="AX115" i="1"/>
  <c r="AV115" i="1" s="1"/>
  <c r="BC97" i="1"/>
  <c r="AL59" i="1"/>
  <c r="AU58" i="1" s="1"/>
  <c r="J58" i="1"/>
  <c r="AV73" i="1"/>
  <c r="BI87" i="1"/>
  <c r="AE87" i="1" s="1"/>
  <c r="AU131" i="1"/>
  <c r="AV19" i="1"/>
  <c r="AX111" i="1"/>
  <c r="BI111" i="1"/>
  <c r="AE111" i="1" s="1"/>
  <c r="BH16" i="1"/>
  <c r="AB16" i="1" s="1"/>
  <c r="AW23" i="1"/>
  <c r="BH23" i="1"/>
  <c r="AB23" i="1" s="1"/>
  <c r="H23" i="1"/>
  <c r="H22" i="1" s="1"/>
  <c r="AV27" i="1"/>
  <c r="BC27" i="1"/>
  <c r="AL52" i="1"/>
  <c r="AU51" i="1" s="1"/>
  <c r="J51" i="1"/>
  <c r="AL73" i="1"/>
  <c r="AU67" i="1" s="1"/>
  <c r="J67" i="1"/>
  <c r="AW82" i="1"/>
  <c r="H82" i="1"/>
  <c r="AW135" i="1"/>
  <c r="H135" i="1"/>
  <c r="BH47" i="1"/>
  <c r="AB47" i="1" s="1"/>
  <c r="AL115" i="1"/>
  <c r="AU110" i="1" s="1"/>
  <c r="J110" i="1"/>
  <c r="AX120" i="1"/>
  <c r="BC120" i="1" s="1"/>
  <c r="BI120" i="1"/>
  <c r="AC120" i="1" s="1"/>
  <c r="I120" i="1"/>
  <c r="I119" i="1" s="1"/>
  <c r="BH129" i="1"/>
  <c r="AB129" i="1" s="1"/>
  <c r="AW129" i="1"/>
  <c r="BH138" i="1"/>
  <c r="AB138" i="1" s="1"/>
  <c r="H138" i="1"/>
  <c r="AW138" i="1"/>
  <c r="H144" i="1"/>
  <c r="BI154" i="1"/>
  <c r="AG154" i="1" s="1"/>
  <c r="I154" i="1"/>
  <c r="I150" i="1" s="1"/>
  <c r="AX154" i="1"/>
  <c r="AV154" i="1" s="1"/>
  <c r="BC47" i="1"/>
  <c r="BH64" i="1"/>
  <c r="AD64" i="1" s="1"/>
  <c r="H64" i="1"/>
  <c r="H63" i="1" s="1"/>
  <c r="AW64" i="1"/>
  <c r="BI92" i="1"/>
  <c r="AE92" i="1" s="1"/>
  <c r="C20" i="2"/>
  <c r="BH19" i="1"/>
  <c r="AB19" i="1" s="1"/>
  <c r="BC35" i="1"/>
  <c r="H77" i="1"/>
  <c r="BI77" i="1"/>
  <c r="I77" i="1"/>
  <c r="AX79" i="1"/>
  <c r="BC79" i="1" s="1"/>
  <c r="BI79" i="1"/>
  <c r="AE79" i="1" s="1"/>
  <c r="I79" i="1"/>
  <c r="AT86" i="1"/>
  <c r="BI95" i="1"/>
  <c r="AE95" i="1" s="1"/>
  <c r="I95" i="1"/>
  <c r="AW123" i="1"/>
  <c r="BH123" i="1"/>
  <c r="AB123" i="1" s="1"/>
  <c r="AX145" i="1"/>
  <c r="BC145" i="1" s="1"/>
  <c r="I145" i="1"/>
  <c r="I144" i="1" s="1"/>
  <c r="BI145" i="1"/>
  <c r="AC145" i="1" s="1"/>
  <c r="AL154" i="1"/>
  <c r="AU150" i="1" s="1"/>
  <c r="J150" i="1"/>
  <c r="BI35" i="1"/>
  <c r="AC35" i="1" s="1"/>
  <c r="AW39" i="1"/>
  <c r="H39" i="1"/>
  <c r="BH39" i="1"/>
  <c r="AB39" i="1" s="1"/>
  <c r="BC55" i="1"/>
  <c r="AV87" i="1"/>
  <c r="BH43" i="1"/>
  <c r="AB43" i="1" s="1"/>
  <c r="H43" i="1"/>
  <c r="BH90" i="1"/>
  <c r="AV92" i="1"/>
  <c r="C21" i="2"/>
  <c r="AX19" i="1"/>
  <c r="BC19" i="1" s="1"/>
  <c r="I19" i="1"/>
  <c r="AL39" i="1"/>
  <c r="J34" i="1"/>
  <c r="C27" i="2"/>
  <c r="BI19" i="1"/>
  <c r="AC19" i="1" s="1"/>
  <c r="I22" i="1"/>
  <c r="AW43" i="1"/>
  <c r="AV47" i="1"/>
  <c r="H59" i="1"/>
  <c r="H58" i="1" s="1"/>
  <c r="BI59" i="1"/>
  <c r="AC59" i="1" s="1"/>
  <c r="I59" i="1"/>
  <c r="I58" i="1" s="1"/>
  <c r="AX59" i="1"/>
  <c r="AV59" i="1" s="1"/>
  <c r="AS67" i="1"/>
  <c r="BI75" i="1"/>
  <c r="AU76" i="1"/>
  <c r="AX77" i="1"/>
  <c r="BC77" i="1" s="1"/>
  <c r="BH97" i="1"/>
  <c r="H97" i="1"/>
  <c r="H86" i="1" s="1"/>
  <c r="H129" i="1"/>
  <c r="AL135" i="1"/>
  <c r="J131" i="1"/>
  <c r="AW141" i="1"/>
  <c r="BH141" i="1"/>
  <c r="AB141" i="1" s="1"/>
  <c r="H141" i="1"/>
  <c r="AL148" i="1"/>
  <c r="AU144" i="1" s="1"/>
  <c r="J144" i="1"/>
  <c r="BI39" i="1"/>
  <c r="AC39" i="1" s="1"/>
  <c r="I39" i="1"/>
  <c r="I34" i="1" s="1"/>
  <c r="AS51" i="1"/>
  <c r="BH79" i="1"/>
  <c r="AD79" i="1" s="1"/>
  <c r="H79" i="1"/>
  <c r="AL90" i="1"/>
  <c r="AU86" i="1" s="1"/>
  <c r="J86" i="1"/>
  <c r="BC95" i="1"/>
  <c r="BH95" i="1"/>
  <c r="AD95" i="1" s="1"/>
  <c r="BC115" i="1"/>
  <c r="BH115" i="1"/>
  <c r="AD115" i="1" s="1"/>
  <c r="BH120" i="1"/>
  <c r="AB120" i="1" s="1"/>
  <c r="H120" i="1"/>
  <c r="H119" i="1" s="1"/>
  <c r="AW157" i="1"/>
  <c r="BH157" i="1"/>
  <c r="AF157" i="1" s="1"/>
  <c r="H157" i="1"/>
  <c r="BI151" i="1"/>
  <c r="AG151" i="1" s="1"/>
  <c r="C19" i="2" s="1"/>
  <c r="BI157" i="1"/>
  <c r="AG157" i="1" s="1"/>
  <c r="AX157" i="1"/>
  <c r="F29" i="3"/>
  <c r="BI135" i="1"/>
  <c r="AC135" i="1" s="1"/>
  <c r="I135" i="1"/>
  <c r="I131" i="1" s="1"/>
  <c r="BH154" i="1"/>
  <c r="AF154" i="1" s="1"/>
  <c r="C18" i="2" s="1"/>
  <c r="C14" i="2" l="1"/>
  <c r="BC126" i="1"/>
  <c r="AV14" i="1"/>
  <c r="BC14" i="1"/>
  <c r="H150" i="1"/>
  <c r="C17" i="2"/>
  <c r="C16" i="2"/>
  <c r="BC49" i="1"/>
  <c r="BC103" i="1"/>
  <c r="C15" i="2"/>
  <c r="H131" i="1"/>
  <c r="BC59" i="1"/>
  <c r="BC105" i="1"/>
  <c r="AV105" i="1"/>
  <c r="AV100" i="1"/>
  <c r="AV148" i="1"/>
  <c r="J160" i="1"/>
  <c r="AV151" i="1"/>
  <c r="C29" i="2"/>
  <c r="F29" i="2" s="1"/>
  <c r="I76" i="1"/>
  <c r="BC68" i="1"/>
  <c r="I86" i="1"/>
  <c r="AU34" i="1"/>
  <c r="AV79" i="1"/>
  <c r="H76" i="1"/>
  <c r="BC129" i="1"/>
  <c r="AV129" i="1"/>
  <c r="BC23" i="1"/>
  <c r="AV23" i="1"/>
  <c r="I15" i="1"/>
  <c r="BC16" i="1"/>
  <c r="BC154" i="1"/>
  <c r="I28" i="2"/>
  <c r="I29" i="2" s="1"/>
  <c r="AV123" i="1"/>
  <c r="BC123" i="1"/>
  <c r="AV77" i="1"/>
  <c r="J12" i="1"/>
  <c r="AV157" i="1"/>
  <c r="BC157" i="1"/>
  <c r="AV43" i="1"/>
  <c r="BC43" i="1"/>
  <c r="BC141" i="1"/>
  <c r="AV141" i="1"/>
  <c r="AV64" i="1"/>
  <c r="BC64" i="1"/>
  <c r="BC135" i="1"/>
  <c r="AV135" i="1"/>
  <c r="AV145" i="1"/>
  <c r="H34" i="1"/>
  <c r="H12" i="1" s="1"/>
  <c r="AV120" i="1"/>
  <c r="BC39" i="1"/>
  <c r="AV39" i="1"/>
  <c r="AV138" i="1"/>
  <c r="BC138" i="1"/>
  <c r="AV82" i="1"/>
  <c r="BC82" i="1"/>
  <c r="AV111" i="1"/>
  <c r="BC111" i="1"/>
  <c r="I12" i="1" l="1"/>
  <c r="C22" i="2"/>
</calcChain>
</file>

<file path=xl/sharedStrings.xml><?xml version="1.0" encoding="utf-8"?>
<sst xmlns="http://schemas.openxmlformats.org/spreadsheetml/2006/main" count="1019" uniqueCount="407">
  <si>
    <t>Slepý stavební rozpočet</t>
  </si>
  <si>
    <t>Název stavby:</t>
  </si>
  <si>
    <t>Stavební úpravy tělocvičny v Řeznovicích - práce 2M</t>
  </si>
  <si>
    <t>Doba výstavby:</t>
  </si>
  <si>
    <t xml:space="preserve"> </t>
  </si>
  <si>
    <t>Objednatel:</t>
  </si>
  <si>
    <t>Město ivančice</t>
  </si>
  <si>
    <t>Druh stavby:</t>
  </si>
  <si>
    <t>Občanská vybavenost</t>
  </si>
  <si>
    <t>Začátek výstavby:</t>
  </si>
  <si>
    <t>Projektant:</t>
  </si>
  <si>
    <t>Tomáš Sýkora</t>
  </si>
  <si>
    <t>Lokalita:</t>
  </si>
  <si>
    <t>Parcela č. 303, 302/1, k.ú. Řeznovice [745421]</t>
  </si>
  <si>
    <t>Konec výstavby:</t>
  </si>
  <si>
    <t>Zhotovitel:</t>
  </si>
  <si>
    <t> </t>
  </si>
  <si>
    <t>JKSO:</t>
  </si>
  <si>
    <t>8015114</t>
  </si>
  <si>
    <t>Zpracováno dne:</t>
  </si>
  <si>
    <t>Zpracoval:</t>
  </si>
  <si>
    <t>Č</t>
  </si>
  <si>
    <t>Kód</t>
  </si>
  <si>
    <t>Zkrácený popis</t>
  </si>
  <si>
    <t>MJ</t>
  </si>
  <si>
    <t>Množství</t>
  </si>
  <si>
    <t>Cena/MJ</t>
  </si>
  <si>
    <t>Náklady (Kč)</t>
  </si>
  <si>
    <t>Cenová</t>
  </si>
  <si>
    <t>ISWORK</t>
  </si>
  <si>
    <t>GROUPCODE</t>
  </si>
  <si>
    <t>VATTAX</t>
  </si>
  <si>
    <t>Rozměry</t>
  </si>
  <si>
    <t>(Kč)</t>
  </si>
  <si>
    <t>Dodávka</t>
  </si>
  <si>
    <t>Montáž</t>
  </si>
  <si>
    <t>Celkem</t>
  </si>
  <si>
    <t>soustava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</si>
  <si>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</si>
  <si>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</si>
  <si>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</si>
  <si>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</si>
  <si>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</si>
  <si>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</si>
  <si>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</si>
  <si>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</si>
  <si>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</si>
  <si>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</si>
  <si>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</si>
  <si>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</si>
  <si>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/>
  </si>
  <si>
    <t>Práce 2M</t>
  </si>
  <si>
    <t>M005VD</t>
  </si>
  <si>
    <t>Vedlejší náklady</t>
  </si>
  <si>
    <t>0_2M</t>
  </si>
  <si>
    <t>1</t>
  </si>
  <si>
    <t>005121010R</t>
  </si>
  <si>
    <t>Vybudování zařízení staveniště, provoz, odstranění</t>
  </si>
  <si>
    <t>Soubor</t>
  </si>
  <si>
    <t>vlastní</t>
  </si>
  <si>
    <t>2</t>
  </si>
  <si>
    <t>M005VD_</t>
  </si>
  <si>
    <t>0_2M_9_</t>
  </si>
  <si>
    <t>0_2M_</t>
  </si>
  <si>
    <t>31</t>
  </si>
  <si>
    <t>Zdi podpěrné a volné</t>
  </si>
  <si>
    <t>317121044RT6</t>
  </si>
  <si>
    <t>Překlad nosný pórobetonový, světlost otvoru do 1800 mm</t>
  </si>
  <si>
    <t>kus</t>
  </si>
  <si>
    <t>RTS II / 2023</t>
  </si>
  <si>
    <t>31_</t>
  </si>
  <si>
    <t>0_2M_3_</t>
  </si>
  <si>
    <t>překlad nosný NOP 375-2000, 199 x 24,9 x 37,5 cm</t>
  </si>
  <si>
    <t>05</t>
  </si>
  <si>
    <t>3</t>
  </si>
  <si>
    <t>311271178RT6</t>
  </si>
  <si>
    <t>Zdivo z tvárnic pórobetonových hladkých tl. 375 mm</t>
  </si>
  <si>
    <t>m2</t>
  </si>
  <si>
    <t>tvárnice Statik Plus, 399 x 249 x 375 mm</t>
  </si>
  <si>
    <t>2,95*2,570-1,36*1,25</t>
  </si>
  <si>
    <t>U24 - N1.24</t>
  </si>
  <si>
    <t>34</t>
  </si>
  <si>
    <t>Stěny a příčky</t>
  </si>
  <si>
    <t>4</t>
  </si>
  <si>
    <t>347013111RZ1VD01</t>
  </si>
  <si>
    <t>AKU Předstěna SDK,tl.50 mm,1xoc.kce CD,1x perforovaná AKU deska 12/25 Q 12,5mm,izol</t>
  </si>
  <si>
    <t>34_</t>
  </si>
  <si>
    <t xml:space="preserve"> izolace ve specifikaci
Ukončení desek SDK lištou s rohovníkem.</t>
  </si>
  <si>
    <t>(3,80*2+19,375)*3,03</t>
  </si>
  <si>
    <t>R05/PK - aku předstěna N1.24</t>
  </si>
  <si>
    <t>RTS komentář:</t>
  </si>
  <si>
    <t>Předsazené stěny SDK, spřažené,předsazená, tl. 55 mm, bez izolace, desky standard (např. Rigiton) 12/25 Qtl. 12,5 mm.</t>
  </si>
  <si>
    <t>5</t>
  </si>
  <si>
    <t>63151390VD01</t>
  </si>
  <si>
    <t>Deska izolační MW 35 tl. 50 mm</t>
  </si>
  <si>
    <t>RTS I / 2023</t>
  </si>
  <si>
    <t>;ztratné 5%; 4,0867125</t>
  </si>
  <si>
    <t>Izolační desky vyrobené ze skelné plsti. Výroba je založena na metodě rozvlákňování taveniny skla a dalších příměsí a přísad. Vlákna jsou po celém povrchu hydrofobizována. Izolaci je nutné v konstrukci chránit vhodným způsobem (parotěsnící fólie, vhodná ochrana proti usazování prachu, další vrstvy dvojitých konstrukcí).  Desky 35 jsou vhodné pro nezatížené izolace vnějších stěn (provětrávaných fasád pod obklad s vkládáním izolantu do kazet nebo do roštů), dále pro izolace příček, šikmých střech, stropů, podhledů a dalších lehkých sendvičových konstrukcí.  Rozměry: 1200 x 625 mm Součinitel tepelné vodivosti: 0,035 W/mK</t>
  </si>
  <si>
    <t>6</t>
  </si>
  <si>
    <t>342941113R00</t>
  </si>
  <si>
    <t>Připojení příček ke stáv.konstr. kotva+turbošrouby</t>
  </si>
  <si>
    <t>m</t>
  </si>
  <si>
    <t xml:space="preserve">•	Zdivo bude prokotveno se stávajícími konstrukcemi systémovými nerez pásky v každé vrstvě
</t>
  </si>
  <si>
    <t>2,570*2</t>
  </si>
  <si>
    <t>41</t>
  </si>
  <si>
    <t>Stropy a stropní konstrukce (pro pozemní stavby)</t>
  </si>
  <si>
    <t>7</t>
  </si>
  <si>
    <t>416026122R00VD01</t>
  </si>
  <si>
    <t>Podhled SDK,ocel.dvouúrov.kříž.rošt, 1x RF 12,5 mm</t>
  </si>
  <si>
    <t>41_</t>
  </si>
  <si>
    <t>0_2M_4_</t>
  </si>
  <si>
    <t>Viz PD R01/PK 
ROZTEČ ZÁVĚSŮ 1000 MM; ROZTEČ NOSNÝCH PROFILŮ 1000 MM; ROZTEČ MONTÁŽNÍCH PROFILŮ 500 MM</t>
  </si>
  <si>
    <t>195,54</t>
  </si>
  <si>
    <t>R01/PK - N1.24</t>
  </si>
  <si>
    <t>Podhledy sádrokartonové SDK, systém PK21, zavěšený ocelový dvouúrovňový křížový rošt, 1x opláštěný, bez minerální izolace, desky protipožární RF (DF) tl. 12,5 mm. Požární odolnost EI 15. 4.11.11</t>
  </si>
  <si>
    <t>8</t>
  </si>
  <si>
    <t>416052111R00VD01</t>
  </si>
  <si>
    <t>Podhled, jedn.oc.konstr., (např.Rigiton) 12/25 Q tl.12,5, s izol</t>
  </si>
  <si>
    <t>TL.IZOLACE 50 MM (REF. VZ. ISOVER PIANO)
ROZTEČ CD PROFILŮ Á250 MM
Podhled bude se schopností odolávat rázům vrženého míče při hře s odolností 2A dle normy ČSN EN 13 964</t>
  </si>
  <si>
    <t>161,28</t>
  </si>
  <si>
    <t>R04/PK - AKUSTICKÝ PODHLED VIZ PŘÍLOHA VÝPOČTU</t>
  </si>
  <si>
    <t>Akustické bezesparé podhledy SDK, systém PK11, jednoduchá ocelová konstrukce zavěšená, 1x opláštěná, s minerální izolací TL. 50 mm, desky (např.Rigiton) 12/25 Q tl. 12,5mm 4.07.45</t>
  </si>
  <si>
    <t>9</t>
  </si>
  <si>
    <t>416052111R00VD02</t>
  </si>
  <si>
    <t>Podhled, jedn.oc.konstr.,1×RB(A)12,5, BEZ IZOLACE</t>
  </si>
  <si>
    <t>ROZTEČ CD PROFILŮ Á250 MM
Podhled bude se schopností odolávat rázům vrženého míče při hře s odolností 2A</t>
  </si>
  <si>
    <t>195,54-161,28</t>
  </si>
  <si>
    <t>60</t>
  </si>
  <si>
    <t>Omítky ze suchých směsí</t>
  </si>
  <si>
    <t>10</t>
  </si>
  <si>
    <t>602015193R00</t>
  </si>
  <si>
    <t>Podkladní nátěr stěn</t>
  </si>
  <si>
    <t>60_</t>
  </si>
  <si>
    <t>0_2M_6_</t>
  </si>
  <si>
    <t>(2,95*2,570-1,36*1,25)*2*2</t>
  </si>
  <si>
    <t>U24 - N1.24 2× vrstvy</t>
  </si>
  <si>
    <t>11</t>
  </si>
  <si>
    <t>602015151R00</t>
  </si>
  <si>
    <t>Štuk na stěnách sanač. ručně tl.3 mm</t>
  </si>
  <si>
    <t>(2,95*2,570-1,36*1,25)*2</t>
  </si>
  <si>
    <t>61</t>
  </si>
  <si>
    <t>Úprava povrchů vnitřní</t>
  </si>
  <si>
    <t>12</t>
  </si>
  <si>
    <t>612481211RU1</t>
  </si>
  <si>
    <t>Montáž výztužné sítě(perlinky)do stěrky-vnit.stěny</t>
  </si>
  <si>
    <t>61_</t>
  </si>
  <si>
    <t>včetně výztužné sítě a stěrkového tmelu</t>
  </si>
  <si>
    <t>13</t>
  </si>
  <si>
    <t>610991111R00</t>
  </si>
  <si>
    <t>Zakrývání výplní vnitřních otvorů</t>
  </si>
  <si>
    <t>VČETNĚ VÝMALBY</t>
  </si>
  <si>
    <t>(2,95*4,4*3+2,95*1,4+1,36*2,6+1,0*2,0+1,45*1,97)</t>
  </si>
  <si>
    <t>N1.24</t>
  </si>
  <si>
    <t>64</t>
  </si>
  <si>
    <t>Výplně otvorů</t>
  </si>
  <si>
    <t>14</t>
  </si>
  <si>
    <t>642103031RABVD01</t>
  </si>
  <si>
    <t>Zazdění okenního otvoru 4,5 m2, omítky</t>
  </si>
  <si>
    <t>64_</t>
  </si>
  <si>
    <t>zeď tloušťky 45 cm
VYZDÍVKA VYBOURANÉHO OTVORU Z PLYNOSILIKÁTOVÝCH TVÁRNIC TL. 450 MM. PROKOTVENÍ S OKOLNÍ KONSTRUKCÍ PŘES NEREZ PÁSKY V KAŽDÉ LOŽNÉ SPÁŘE. POVRCH BUDE PŘESTĚRKOVÁN VČETNĚ ARMOVACÍ TKANINY A OPATŘEN TENKOVRSTVOU OMÍTKOU (V INTERIÉRU).</t>
  </si>
  <si>
    <t>U06 - N1.24</t>
  </si>
  <si>
    <t>V položce není kalkulován poplatek za skládku pro vybouranou suť. Tyto náklady se oceňují individuálně podle místních podmínek. Orientační hmotnost vybouraných konstrukcí je 0,146 t/kus konstrukce</t>
  </si>
  <si>
    <t>713</t>
  </si>
  <si>
    <t>Izolace tepelné</t>
  </si>
  <si>
    <t>15</t>
  </si>
  <si>
    <t>713101121R00</t>
  </si>
  <si>
    <t>Odstranění tepelné izolace stropů a podhledů, volně uložené, z desek minerálních, tl. do 100 mm</t>
  </si>
  <si>
    <t>713_</t>
  </si>
  <si>
    <t>0_2M_71_</t>
  </si>
  <si>
    <t>MW TL. 50 MM</t>
  </si>
  <si>
    <t>195,89</t>
  </si>
  <si>
    <t>X20,X23 - 1.28</t>
  </si>
  <si>
    <t>764</t>
  </si>
  <si>
    <t>Konstrukce klempířské</t>
  </si>
  <si>
    <t>16</t>
  </si>
  <si>
    <t>764410850R00</t>
  </si>
  <si>
    <t>Demontáž oplechování parapetů,rš od 100 do 330 mm</t>
  </si>
  <si>
    <t>764_</t>
  </si>
  <si>
    <t>0_2M_76_</t>
  </si>
  <si>
    <t>3,0*1</t>
  </si>
  <si>
    <t>x31</t>
  </si>
  <si>
    <t>17</t>
  </si>
  <si>
    <t>764816125RT3</t>
  </si>
  <si>
    <t>Oplechování parapetů, lakovaný Pz plech, rš 250 mm</t>
  </si>
  <si>
    <t>lepení na nízkoexpanzní pěnu
viz výpis klempířských výrobků</t>
  </si>
  <si>
    <t>K06</t>
  </si>
  <si>
    <t>18</t>
  </si>
  <si>
    <t>2,95*1</t>
  </si>
  <si>
    <t>X24</t>
  </si>
  <si>
    <t>19</t>
  </si>
  <si>
    <t>998011001R00</t>
  </si>
  <si>
    <t>Přesun hmot pro budovy zděné výšky do 6 m</t>
  </si>
  <si>
    <t>t</t>
  </si>
  <si>
    <t>766</t>
  </si>
  <si>
    <t>Konstrukce truhlářské</t>
  </si>
  <si>
    <t>20</t>
  </si>
  <si>
    <t>998766201R00</t>
  </si>
  <si>
    <t>Přesun hmot pro truhlářské konstr., výšky do 6 m</t>
  </si>
  <si>
    <t>%</t>
  </si>
  <si>
    <t>766_</t>
  </si>
  <si>
    <t>217313*0,01</t>
  </si>
  <si>
    <t>21</t>
  </si>
  <si>
    <t>Poz_04</t>
  </si>
  <si>
    <t>AL_DVEŘNÍ SESTAVA -  D+M</t>
  </si>
  <si>
    <t>VIZ VÝPIS VÝPLNÍ OTVORŮ</t>
  </si>
  <si>
    <t>POZ_04</t>
  </si>
  <si>
    <t>22</t>
  </si>
  <si>
    <t>Poz_05</t>
  </si>
  <si>
    <t>AL_OKENNÍ SESTAVA -  D+M</t>
  </si>
  <si>
    <t>POZ_05</t>
  </si>
  <si>
    <t>DODÁVKA VČETNĚ ELEKTROMOTORŮ!!!</t>
  </si>
  <si>
    <t>767</t>
  </si>
  <si>
    <t>Konstrukce doplňkové stavební (zámečnické)</t>
  </si>
  <si>
    <t>23</t>
  </si>
  <si>
    <t>767995101R00VD01</t>
  </si>
  <si>
    <t>Výroba a montáž kov. atypických konstr. do 5 kg</t>
  </si>
  <si>
    <t>kg</t>
  </si>
  <si>
    <t>767_</t>
  </si>
  <si>
    <t>kulatina 15 mm, navaření na ocelové I nosníky</t>
  </si>
  <si>
    <t>1,00*19*10*1,39</t>
  </si>
  <si>
    <t>U28 - N1.24 podhled</t>
  </si>
  <si>
    <t>24</t>
  </si>
  <si>
    <t>998767201R00</t>
  </si>
  <si>
    <t>Přesun hmot pro zámečnické konstr., výšky do 6 m</t>
  </si>
  <si>
    <t>63384*0,01</t>
  </si>
  <si>
    <t>25</t>
  </si>
  <si>
    <t>767581801R00</t>
  </si>
  <si>
    <t>Demontáž podhledů - kazet</t>
  </si>
  <si>
    <t>VČETNĚ PE FOLIE</t>
  </si>
  <si>
    <t>26</t>
  </si>
  <si>
    <t>767582800R00</t>
  </si>
  <si>
    <t>Demontáž podhledů - roštů</t>
  </si>
  <si>
    <t>27</t>
  </si>
  <si>
    <t>979081121RT2</t>
  </si>
  <si>
    <t>Příplatek k odvozu za každý další 1 km</t>
  </si>
  <si>
    <t>kontejnerem 4 t</t>
  </si>
  <si>
    <t>10*4,64131</t>
  </si>
  <si>
    <t>odhad</t>
  </si>
  <si>
    <t>28</t>
  </si>
  <si>
    <t>979990107R00</t>
  </si>
  <si>
    <t>Poplatek za uložení suti - směs betonu, cihel, dřeva, skupina odpadu 170904</t>
  </si>
  <si>
    <t>4,64131</t>
  </si>
  <si>
    <t>783</t>
  </si>
  <si>
    <t>Nátěry</t>
  </si>
  <si>
    <t>29</t>
  </si>
  <si>
    <t>783904811R00</t>
  </si>
  <si>
    <t>Odrezivění kovových konstrukcí</t>
  </si>
  <si>
    <t>783_</t>
  </si>
  <si>
    <t>0_2M_78_</t>
  </si>
  <si>
    <t>(1,15-0,137)*9,945*20</t>
  </si>
  <si>
    <t>U09 - N1.24</t>
  </si>
  <si>
    <t>30</t>
  </si>
  <si>
    <t>783120010RAA</t>
  </si>
  <si>
    <t>Nátěr OK těžkých "A" syntetický</t>
  </si>
  <si>
    <t>základní</t>
  </si>
  <si>
    <t>201,4857</t>
  </si>
  <si>
    <t>0,0471*(1,00*19*10)</t>
  </si>
  <si>
    <t>U28 - N1.24</t>
  </si>
  <si>
    <t>0,0471*(1,00*16*10)</t>
  </si>
  <si>
    <t>784</t>
  </si>
  <si>
    <t>Malby</t>
  </si>
  <si>
    <t>784191201R00</t>
  </si>
  <si>
    <t>Penetrace podkladu hloubková  1x</t>
  </si>
  <si>
    <t>784_</t>
  </si>
  <si>
    <t>POZOR ZOHLEDNIT V CENĚ SVĚTLOU VÝŠKU N1.24 -  6 M!!!</t>
  </si>
  <si>
    <t>61,75*6,03+195,54+0,18*(2,95*4+4,4*6+1,40*2)+0,45*(1,15+2,15*2)+0,275*(1,36+2,60*2)</t>
  </si>
  <si>
    <t>N1.24 POZOR ZOHLEDNIT V CENĚ SVĚTLOU VÝŠKU N1.24 -  6 M!!!</t>
  </si>
  <si>
    <t>-(2,95*4,4*3+2,95*1,4+1,36*2,6+1,0*2,0+1,45*1,97+2,95*2,98*4)-(75,37)</t>
  </si>
  <si>
    <t>N1.24 - odečty</t>
  </si>
  <si>
    <t>32</t>
  </si>
  <si>
    <t>784195312R00</t>
  </si>
  <si>
    <t>Malba , bílá, bez penetrace, 2 x</t>
  </si>
  <si>
    <t>N1.24 - POZOR ZOHLEDNIT V CENĚ SVĚTLOU VÝŠKU 6 M!!!</t>
  </si>
  <si>
    <t>94</t>
  </si>
  <si>
    <t>Lešení a stavební výtahy</t>
  </si>
  <si>
    <t>33</t>
  </si>
  <si>
    <t>946941102RT1</t>
  </si>
  <si>
    <t>Montáž pojízdných Alu věží BOSS, 2,5 x 1,45 m</t>
  </si>
  <si>
    <t>sada</t>
  </si>
  <si>
    <t>94_</t>
  </si>
  <si>
    <t>pracovní výška 4,2 m</t>
  </si>
  <si>
    <t>2 KS VĚŽÍ V N1.24</t>
  </si>
  <si>
    <t>946941192RT1</t>
  </si>
  <si>
    <t>Nájemné pojízdných Alu věží BOSS, 2,5 x 1,45 m</t>
  </si>
  <si>
    <t>den</t>
  </si>
  <si>
    <t>30*2*2</t>
  </si>
  <si>
    <t>2 KS VĚŽÍ 2  MĚSÍCE</t>
  </si>
  <si>
    <t>35</t>
  </si>
  <si>
    <t>946941802RT1</t>
  </si>
  <si>
    <t>Demontáž pojízdných Alu věží BOSS, 2,5 x 1,45 m</t>
  </si>
  <si>
    <t>pracovní výška 4,3 m</t>
  </si>
  <si>
    <t>2 KS</t>
  </si>
  <si>
    <t>36</t>
  </si>
  <si>
    <t>941955004R00</t>
  </si>
  <si>
    <t>Lešení lehké pomocné, výška podlahy do 3,5 m</t>
  </si>
  <si>
    <t>3,5*1*1,2*2</t>
  </si>
  <si>
    <t>Pro montáž oken , zdění a omítky v tělocvičně</t>
  </si>
  <si>
    <t>96</t>
  </si>
  <si>
    <t>Bourání konstrukcí</t>
  </si>
  <si>
    <t>37</t>
  </si>
  <si>
    <t>962200041RAA</t>
  </si>
  <si>
    <t>Bourání příček z kopilitu</t>
  </si>
  <si>
    <t>96_</t>
  </si>
  <si>
    <t>tloušťka 10 cm, včetně ocelové konstrukce.</t>
  </si>
  <si>
    <t>2,95*4,40*1</t>
  </si>
  <si>
    <t>X24 - KOPILITOVÉ OKNA V TĚLOCVIČNĚ</t>
  </si>
  <si>
    <t>38</t>
  </si>
  <si>
    <t>968061113R00</t>
  </si>
  <si>
    <t>Vyvěšení dřevěných a plastových okenních křídel pl. nad 1,5 m2</t>
  </si>
  <si>
    <t>X31</t>
  </si>
  <si>
    <t>Položka obsahuje náklady na vyvěšení křídel, jejich uložení a zpětné zavěšení po provedených stavebních úpravách. Položka se používá i pro vyvěšení křídel určených k likvidaci</t>
  </si>
  <si>
    <t>39</t>
  </si>
  <si>
    <t>968062356R00</t>
  </si>
  <si>
    <t>Vybourání dřevěných rámů oken dvojitých pl. 4 m2</t>
  </si>
  <si>
    <t>3,00*1,50*1</t>
  </si>
  <si>
    <t xml:space="preserve">V položce není kalkulována manipulace se sutí, která se oceňuje samostatně položkami souboru 979. V položce není zakalkulováno vyvěšení křídel. Tyto práce se oceňují samostatně položkami souboru 968 06 -11 Vyvěšení dřevěných křídel. Položka se používá pro okna dvojitá nebo zdvojená. </t>
  </si>
  <si>
    <t>40</t>
  </si>
  <si>
    <t>968062991R00VD00</t>
  </si>
  <si>
    <t>Vybourání dřevěných deštění a obkladů + zpětná montáž se zapravení dle nového vstupu</t>
  </si>
  <si>
    <t>včetně demontáže radiátoru a dočasného přepojení rozvodů ˇUT do podlahy
včetně materiálu a práce</t>
  </si>
  <si>
    <t>3,00*1*1,8</t>
  </si>
  <si>
    <t>X16 - 1.28</t>
  </si>
  <si>
    <t>97</t>
  </si>
  <si>
    <t>Prorážení otvorů a ostatní bourací práce</t>
  </si>
  <si>
    <t>971100021RAB</t>
  </si>
  <si>
    <t>Vybourání otvorů ve zdivu cihelném</t>
  </si>
  <si>
    <t>97_</t>
  </si>
  <si>
    <t>tloušťka 45 cm</t>
  </si>
  <si>
    <t>1,36*1,37</t>
  </si>
  <si>
    <t>X38 - DVEŘE DO TĚLOCVIČNY</t>
  </si>
  <si>
    <t>42</t>
  </si>
  <si>
    <t>979081111RT2</t>
  </si>
  <si>
    <t>Odvoz suti a vybour. hmot na skládku do 1 km</t>
  </si>
  <si>
    <t>M21</t>
  </si>
  <si>
    <t>Elektromontáže</t>
  </si>
  <si>
    <t>43</t>
  </si>
  <si>
    <t>210110043RT7VD38</t>
  </si>
  <si>
    <t>I - LED svítidlo přisazené, hlubokozářič, průmyslové, 118W, 15 600lm, 4000K, IP65, mikroprizmat. kryt, Ř 370mm</t>
  </si>
  <si>
    <t>M21_</t>
  </si>
  <si>
    <t>SVÍTIDLA VČETNĚ ZDROJŮ, MONTÁŽE A ZAPOJENÍ A RECYKLACE SVÍTIDEL
Referenční model: MEGA L4M_PCN_/2800, Modus</t>
  </si>
  <si>
    <t>44</t>
  </si>
  <si>
    <t>210110043RT7VD44</t>
  </si>
  <si>
    <t>N1 - LED svítidlo přisazené nouzové ANNTIPANIC, 6W, 450lm, 5000K, IP20, 3h, autotest, bílá</t>
  </si>
  <si>
    <t>SVÍTIDLA VČETNĚ ZDROJŮ, MONTÁŽE A ZAPOJENÍ A RECYKLACE SVÍTIDEL
Referenční model: Hormen CE</t>
  </si>
  <si>
    <t>45</t>
  </si>
  <si>
    <t>21011004VD00</t>
  </si>
  <si>
    <t>silnoproud, kabeláž, instalační materiál, jističe + montáž, drážky, průrazy a zapravení</t>
  </si>
  <si>
    <t>pro osvětlení místnosti, otevírání oken.</t>
  </si>
  <si>
    <t>Celkem:</t>
  </si>
  <si>
    <t>Poznámka:</t>
  </si>
  <si>
    <t>Krycí list slepého rozpočtu</t>
  </si>
  <si>
    <t>IČO/DIČ:</t>
  </si>
  <si>
    <t>00281859/CZ00281859</t>
  </si>
  <si>
    <t>73313190/CZ7712155616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</si>
  <si>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</si>
  <si>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</si>
  <si>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</si>
  <si>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</si>
  <si>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</si>
  <si>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</si>
  <si>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</si>
  <si>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</si>
  <si>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</si>
  <si>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</si>
  <si>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</si>
  <si>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</si>
  <si>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</si>
  <si>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</si>
  <si>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</si>
  <si>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</si>
  <si>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</si>
  <si>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</si>
  <si>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</si>
  <si>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</si>
  <si>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</si>
  <si>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</si>
  <si>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</si>
  <si>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</si>
  <si>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</si>
  <si>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</si>
  <si>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</si>
  <si>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</si>
  <si>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</si>
  <si>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</si>
  <si>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</si>
  <si>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</si>
  <si>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</si>
  <si>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</si>
  <si>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</si>
  <si>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</si>
  <si>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</si>
  <si>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</si>
  <si>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</si>
  <si>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</si>
  <si>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</si>
  <si>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</si>
  <si>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Vedlejší a ostatní rozpočtové náklady</t>
  </si>
  <si>
    <t>Vedlejší rozpočtové náklady VRN</t>
  </si>
  <si>
    <t>Doplňkové náklady DN</t>
  </si>
  <si>
    <t>Kč</t>
  </si>
  <si>
    <t>Základna</t>
  </si>
  <si>
    <t>Celkem DN</t>
  </si>
  <si>
    <t>Celkem NUS</t>
  </si>
  <si>
    <t>Celkem VRN</t>
  </si>
  <si>
    <t>Ostatní rozpočtové náklady ORN</t>
  </si>
  <si>
    <t>Ostatní rozpočtové náklady (ORN)</t>
  </si>
  <si>
    <t>Celkem ORN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</si>
</sst>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name val="Calibri"/>
      <charset val="1"/>
    </font>
    <font>
      <sz val="18"/>
      <color rgb="FF000000"/>
      <name val="Arial"/>
      <charset val="238"/>
    </font>
    <font>
      <b/>
      <sz val="10"/>
      <color rgb="FF000000"/>
      <name val="Arial"/>
      <charset val="238"/>
    </font>
    <font>
      <sz val="10"/>
      <color rgb="FF000000"/>
      <name val="Arial"/>
      <charset val="238"/>
    </font>
    <font>
      <i/>
      <sz val="10"/>
      <color rgb="FF000000"/>
      <name val="Arial"/>
      <charset val="238"/>
    </font>
    <font>
      <sz val="11"/>
      <name val="Arial"/>
      <charset val="1"/>
    </font>
    <font>
      <i/>
      <sz val="10"/>
      <color rgb="FF008000"/>
      <name val="Arial"/>
      <charset val="238"/>
    </font>
    <font>
      <sz val="10"/>
      <color rgb="FF0080C0"/>
      <name val="Arial"/>
      <charset val="238"/>
    </font>
    <font>
      <i/>
      <sz val="10"/>
      <color rgb="FF0080C0"/>
      <name val="Arial"/>
      <charset val="238"/>
    </font>
    <font>
      <i/>
      <sz val="8"/>
      <color rgb="FF000000"/>
      <name val="Arial"/>
      <charset val="238"/>
    </font>
    <font>
      <b/>
      <sz val="18"/>
      <color rgb="FF000000"/>
      <name val="Arial"/>
      <charset val="238"/>
    </font>
    <font>
      <b/>
      <sz val="20"/>
      <color rgb="FF000000"/>
      <name val="Arial"/>
      <charset val="238"/>
    </font>
    <font>
      <b/>
      <sz val="11"/>
      <color rgb="FF000000"/>
      <name val="Arial"/>
      <charset val="238"/>
    </font>
    <font>
      <b/>
      <sz val="12"/>
      <color rgb="FF000000"/>
      <name val="Arial"/>
      <charset val="238"/>
    </font>
    <font>
      <sz val="12"/>
      <color rgb="FF000000"/>
      <name val="Arial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</fills>
  <borders count="8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C0C0C0"/>
      </left>
      <right/>
      <top/>
      <bottom/>
      <diagonal/>
    </border>
    <border>
      <left/>
      <right/>
      <top/>
      <bottom/>
      <diagonal/>
    </border>
    <border>
      <left/>
      <right style="thin">
        <color rgb="FFC0C0C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C0C0C0"/>
      </left>
      <right/>
      <top/>
      <bottom/>
      <diagonal/>
    </border>
    <border>
      <left/>
      <right/>
      <top/>
      <bottom/>
      <diagonal/>
    </border>
    <border>
      <left/>
      <right style="thin">
        <color rgb="FFC0C0C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40">
    <xf numFmtId="0" fontId="0" fillId="0" borderId="0" xfId="0"/>
    <xf numFmtId="0" fontId="11" fillId="2" borderId="51" xfId="0" applyFont="1" applyFill="1" applyBorder="1" applyAlignment="1">
      <alignment horizontal="center" vertical="center"/>
    </xf>
    <xf numFmtId="0" fontId="11" fillId="2" borderId="54" xfId="0" applyFont="1" applyFill="1" applyBorder="1" applyAlignment="1">
      <alignment horizontal="center" vertical="center"/>
    </xf>
    <xf numFmtId="0" fontId="13" fillId="0" borderId="55" xfId="0" applyFont="1" applyBorder="1" applyAlignment="1">
      <alignment horizontal="left" vertical="center"/>
    </xf>
    <xf numFmtId="0" fontId="14" fillId="0" borderId="56" xfId="0" applyFont="1" applyBorder="1" applyAlignment="1">
      <alignment horizontal="left" vertical="center"/>
    </xf>
    <xf numFmtId="4" fontId="14" fillId="0" borderId="56" xfId="0" applyNumberFormat="1" applyFont="1" applyBorder="1" applyAlignment="1">
      <alignment horizontal="right" vertical="center"/>
    </xf>
    <xf numFmtId="0" fontId="14" fillId="0" borderId="56" xfId="0" applyFont="1" applyBorder="1" applyAlignment="1">
      <alignment horizontal="right" vertical="center"/>
    </xf>
    <xf numFmtId="0" fontId="13" fillId="0" borderId="59" xfId="0" applyFont="1" applyBorder="1" applyAlignment="1">
      <alignment horizontal="left" vertical="center"/>
    </xf>
    <xf numFmtId="4" fontId="14" fillId="0" borderId="63" xfId="0" applyNumberFormat="1" applyFont="1" applyBorder="1" applyAlignment="1">
      <alignment horizontal="right" vertical="center"/>
    </xf>
    <xf numFmtId="0" fontId="14" fillId="0" borderId="63" xfId="0" applyFont="1" applyBorder="1" applyAlignment="1">
      <alignment horizontal="right" vertical="center"/>
    </xf>
    <xf numFmtId="4" fontId="14" fillId="0" borderId="54" xfId="0" applyNumberFormat="1" applyFont="1" applyBorder="1" applyAlignment="1">
      <alignment horizontal="right" vertical="center"/>
    </xf>
    <xf numFmtId="4" fontId="14" fillId="0" borderId="25" xfId="0" applyNumberFormat="1" applyFont="1" applyBorder="1" applyAlignment="1">
      <alignment horizontal="right" vertical="center"/>
    </xf>
    <xf numFmtId="4" fontId="13" fillId="2" borderId="53" xfId="0" applyNumberFormat="1" applyFont="1" applyFill="1" applyBorder="1" applyAlignment="1">
      <alignment horizontal="right" vertical="center"/>
    </xf>
    <xf numFmtId="4" fontId="13" fillId="2" borderId="58" xfId="0" applyNumberFormat="1" applyFont="1" applyFill="1" applyBorder="1" applyAlignment="1">
      <alignment horizontal="right" vertical="center"/>
    </xf>
    <xf numFmtId="0" fontId="9" fillId="0" borderId="29" xfId="0" applyFont="1" applyBorder="1" applyAlignment="1">
      <alignment horizontal="left" vertical="center"/>
    </xf>
    <xf numFmtId="0" fontId="2" fillId="0" borderId="79" xfId="0" applyFont="1" applyBorder="1" applyAlignment="1">
      <alignment horizontal="right" vertical="center"/>
    </xf>
    <xf numFmtId="4" fontId="3" fillId="0" borderId="56" xfId="0" applyNumberFormat="1" applyFont="1" applyBorder="1" applyAlignment="1">
      <alignment horizontal="right" vertical="center"/>
    </xf>
    <xf numFmtId="0" fontId="3" fillId="0" borderId="56" xfId="0" applyFont="1" applyBorder="1" applyAlignment="1">
      <alignment horizontal="left" vertical="center"/>
    </xf>
    <xf numFmtId="4" fontId="3" fillId="0" borderId="83" xfId="0" applyNumberFormat="1" applyFont="1" applyBorder="1" applyAlignment="1">
      <alignment horizontal="right" vertical="center"/>
    </xf>
    <xf numFmtId="0" fontId="3" fillId="0" borderId="83" xfId="0" applyFont="1" applyBorder="1" applyAlignment="1">
      <alignment horizontal="left" vertical="center"/>
    </xf>
    <xf numFmtId="0" fontId="2" fillId="0" borderId="87" xfId="0" applyFont="1" applyBorder="1" applyAlignment="1">
      <alignment horizontal="left" vertical="center"/>
    </xf>
    <xf numFmtId="0" fontId="2" fillId="0" borderId="87" xfId="0" applyFont="1" applyBorder="1" applyAlignment="1">
      <alignment horizontal="right" vertical="center"/>
    </xf>
    <xf numFmtId="4" fontId="2" fillId="0" borderId="87" xfId="0" applyNumberFormat="1" applyFont="1" applyBorder="1" applyAlignment="1">
      <alignment horizontal="right" vertical="center"/>
    </xf>
    <xf numFmtId="0" fontId="0" fillId="0" borderId="0" xfId="0" applyFill="1"/>
    <xf numFmtId="4" fontId="2" fillId="0" borderId="0" xfId="0" applyNumberFormat="1" applyFont="1" applyFill="1" applyAlignment="1">
      <alignment horizontal="right" vertical="center"/>
    </xf>
    <xf numFmtId="0" fontId="2" fillId="0" borderId="10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3" fillId="0" borderId="19" xfId="0" applyFont="1" applyFill="1" applyBorder="1" applyAlignment="1">
      <alignment horizontal="left" vertical="center"/>
    </xf>
    <xf numFmtId="0" fontId="3" fillId="0" borderId="20" xfId="0" applyFont="1" applyFill="1" applyBorder="1" applyAlignment="1">
      <alignment horizontal="left"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left" vertical="center"/>
    </xf>
    <xf numFmtId="0" fontId="2" fillId="0" borderId="29" xfId="0" applyFont="1" applyFill="1" applyBorder="1" applyAlignment="1">
      <alignment horizontal="left" vertical="center"/>
    </xf>
    <xf numFmtId="0" fontId="3" fillId="0" borderId="29" xfId="0" applyFont="1" applyFill="1" applyBorder="1" applyAlignment="1">
      <alignment horizontal="left" vertical="center"/>
    </xf>
    <xf numFmtId="4" fontId="2" fillId="0" borderId="29" xfId="0" applyNumberFormat="1" applyFont="1" applyFill="1" applyBorder="1" applyAlignment="1">
      <alignment horizontal="right" vertical="center"/>
    </xf>
    <xf numFmtId="0" fontId="2" fillId="0" borderId="30" xfId="0" applyFont="1" applyFill="1" applyBorder="1" applyAlignment="1">
      <alignment horizontal="right" vertical="center"/>
    </xf>
    <xf numFmtId="0" fontId="3" fillId="0" borderId="5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2" fillId="0" borderId="6" xfId="0" applyFont="1" applyFill="1" applyBorder="1" applyAlignment="1">
      <alignment horizontal="right" vertical="center"/>
    </xf>
    <xf numFmtId="4" fontId="3" fillId="0" borderId="0" xfId="0" applyNumberFormat="1" applyFont="1" applyFill="1" applyAlignment="1">
      <alignment horizontal="right" vertical="center"/>
    </xf>
    <xf numFmtId="0" fontId="3" fillId="0" borderId="6" xfId="0" applyFont="1" applyFill="1" applyBorder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left" vertical="center" wrapText="1"/>
    </xf>
    <xf numFmtId="0" fontId="3" fillId="0" borderId="31" xfId="0" applyFont="1" applyFill="1" applyBorder="1" applyAlignment="1">
      <alignment horizontal="left" vertical="center"/>
    </xf>
    <xf numFmtId="0" fontId="2" fillId="0" borderId="32" xfId="0" applyFont="1" applyFill="1" applyBorder="1" applyAlignment="1">
      <alignment horizontal="left" vertical="center"/>
    </xf>
    <xf numFmtId="0" fontId="3" fillId="0" borderId="32" xfId="0" applyFont="1" applyFill="1" applyBorder="1" applyAlignment="1">
      <alignment horizontal="left" vertical="center"/>
    </xf>
    <xf numFmtId="4" fontId="2" fillId="0" borderId="32" xfId="0" applyNumberFormat="1" applyFont="1" applyFill="1" applyBorder="1" applyAlignment="1">
      <alignment horizontal="right" vertical="center"/>
    </xf>
    <xf numFmtId="0" fontId="2" fillId="0" borderId="33" xfId="0" applyFont="1" applyFill="1" applyBorder="1" applyAlignment="1">
      <alignment horizontal="right" vertical="center"/>
    </xf>
    <xf numFmtId="0" fontId="3" fillId="0" borderId="34" xfId="0" applyFont="1" applyFill="1" applyBorder="1" applyAlignment="1">
      <alignment horizontal="left" vertical="center"/>
    </xf>
    <xf numFmtId="0" fontId="3" fillId="0" borderId="35" xfId="0" applyFont="1" applyFill="1" applyBorder="1" applyAlignment="1">
      <alignment horizontal="left" vertical="center"/>
    </xf>
    <xf numFmtId="4" fontId="3" fillId="0" borderId="35" xfId="0" applyNumberFormat="1" applyFont="1" applyFill="1" applyBorder="1" applyAlignment="1">
      <alignment horizontal="right" vertical="center"/>
    </xf>
    <xf numFmtId="0" fontId="3" fillId="0" borderId="36" xfId="0" applyFont="1" applyFill="1" applyBorder="1" applyAlignment="1">
      <alignment horizontal="right" vertical="center"/>
    </xf>
    <xf numFmtId="0" fontId="0" fillId="0" borderId="37" xfId="0" applyFill="1" applyBorder="1"/>
    <xf numFmtId="0" fontId="5" fillId="0" borderId="34" xfId="0" applyFont="1" applyFill="1" applyBorder="1"/>
    <xf numFmtId="0" fontId="5" fillId="0" borderId="35" xfId="0" applyFont="1" applyFill="1" applyBorder="1"/>
    <xf numFmtId="0" fontId="6" fillId="0" borderId="35" xfId="0" applyFont="1" applyFill="1" applyBorder="1" applyAlignment="1">
      <alignment horizontal="left" vertical="center"/>
    </xf>
    <xf numFmtId="0" fontId="4" fillId="0" borderId="35" xfId="0" applyFont="1" applyFill="1" applyBorder="1" applyAlignment="1">
      <alignment horizontal="left" vertical="center"/>
    </xf>
    <xf numFmtId="4" fontId="6" fillId="0" borderId="35" xfId="0" applyNumberFormat="1" applyFont="1" applyFill="1" applyBorder="1" applyAlignment="1">
      <alignment horizontal="right" vertical="center"/>
    </xf>
    <xf numFmtId="0" fontId="5" fillId="0" borderId="36" xfId="0" applyFont="1" applyFill="1" applyBorder="1"/>
    <xf numFmtId="0" fontId="3" fillId="0" borderId="40" xfId="0" applyFont="1" applyFill="1" applyBorder="1" applyAlignment="1">
      <alignment horizontal="left" vertical="center"/>
    </xf>
    <xf numFmtId="0" fontId="3" fillId="0" borderId="41" xfId="0" applyFont="1" applyFill="1" applyBorder="1" applyAlignment="1">
      <alignment horizontal="left" vertical="center"/>
    </xf>
    <xf numFmtId="4" fontId="3" fillId="0" borderId="41" xfId="0" applyNumberFormat="1" applyFont="1" applyFill="1" applyBorder="1" applyAlignment="1">
      <alignment horizontal="right" vertical="center"/>
    </xf>
    <xf numFmtId="0" fontId="3" fillId="0" borderId="42" xfId="0" applyFont="1" applyFill="1" applyBorder="1" applyAlignment="1">
      <alignment horizontal="right" vertical="center"/>
    </xf>
    <xf numFmtId="0" fontId="2" fillId="0" borderId="41" xfId="0" applyFont="1" applyFill="1" applyBorder="1" applyAlignment="1">
      <alignment horizontal="left" vertical="center"/>
    </xf>
    <xf numFmtId="4" fontId="2" fillId="0" borderId="41" xfId="0" applyNumberFormat="1" applyFont="1" applyFill="1" applyBorder="1" applyAlignment="1">
      <alignment horizontal="right" vertical="center"/>
    </xf>
    <xf numFmtId="0" fontId="2" fillId="0" borderId="42" xfId="0" applyFont="1" applyFill="1" applyBorder="1" applyAlignment="1">
      <alignment horizontal="right" vertical="center"/>
    </xf>
    <xf numFmtId="0" fontId="4" fillId="0" borderId="38" xfId="0" applyFont="1" applyFill="1" applyBorder="1" applyAlignment="1">
      <alignment horizontal="right" vertical="center"/>
    </xf>
    <xf numFmtId="0" fontId="4" fillId="0" borderId="0" xfId="0" applyFont="1" applyFill="1" applyAlignment="1">
      <alignment horizontal="left" vertical="center" wrapText="1"/>
    </xf>
    <xf numFmtId="0" fontId="7" fillId="0" borderId="34" xfId="0" applyFont="1" applyFill="1" applyBorder="1" applyAlignment="1">
      <alignment horizontal="left" vertical="center"/>
    </xf>
    <xf numFmtId="0" fontId="7" fillId="0" borderId="35" xfId="0" applyFont="1" applyFill="1" applyBorder="1" applyAlignment="1">
      <alignment horizontal="left" vertical="center"/>
    </xf>
    <xf numFmtId="4" fontId="7" fillId="0" borderId="35" xfId="0" applyNumberFormat="1" applyFont="1" applyFill="1" applyBorder="1" applyAlignment="1">
      <alignment horizontal="right" vertical="center"/>
    </xf>
    <xf numFmtId="0" fontId="7" fillId="0" borderId="36" xfId="0" applyFont="1" applyFill="1" applyBorder="1" applyAlignment="1">
      <alignment horizontal="right" vertical="center"/>
    </xf>
    <xf numFmtId="4" fontId="7" fillId="0" borderId="0" xfId="0" applyNumberFormat="1" applyFont="1" applyFill="1" applyAlignment="1">
      <alignment horizontal="right" vertical="center"/>
    </xf>
    <xf numFmtId="0" fontId="7" fillId="0" borderId="0" xfId="0" applyFont="1" applyFill="1" applyAlignment="1">
      <alignment horizontal="right" vertical="center"/>
    </xf>
    <xf numFmtId="0" fontId="7" fillId="0" borderId="0" xfId="0" applyFont="1" applyFill="1" applyAlignment="1">
      <alignment horizontal="left" vertical="center" wrapText="1"/>
    </xf>
    <xf numFmtId="0" fontId="5" fillId="0" borderId="40" xfId="0" applyFont="1" applyFill="1" applyBorder="1"/>
    <xf numFmtId="0" fontId="5" fillId="0" borderId="41" xfId="0" applyFont="1" applyFill="1" applyBorder="1"/>
    <xf numFmtId="0" fontId="6" fillId="0" borderId="41" xfId="0" applyFont="1" applyFill="1" applyBorder="1" applyAlignment="1">
      <alignment horizontal="left" vertical="center"/>
    </xf>
    <xf numFmtId="0" fontId="4" fillId="0" borderId="41" xfId="0" applyFont="1" applyFill="1" applyBorder="1" applyAlignment="1">
      <alignment horizontal="left" vertical="center"/>
    </xf>
    <xf numFmtId="4" fontId="6" fillId="0" borderId="41" xfId="0" applyNumberFormat="1" applyFont="1" applyFill="1" applyBorder="1" applyAlignment="1">
      <alignment horizontal="right" vertical="center"/>
    </xf>
    <xf numFmtId="0" fontId="5" fillId="0" borderId="42" xfId="0" applyFont="1" applyFill="1" applyBorder="1"/>
    <xf numFmtId="0" fontId="8" fillId="0" borderId="0" xfId="0" applyFont="1" applyFill="1" applyAlignment="1">
      <alignment horizontal="left" vertical="center" wrapText="1"/>
    </xf>
    <xf numFmtId="0" fontId="3" fillId="0" borderId="37" xfId="0" applyFont="1" applyFill="1" applyBorder="1" applyAlignment="1">
      <alignment horizontal="left" vertical="center"/>
    </xf>
    <xf numFmtId="0" fontId="2" fillId="0" borderId="38" xfId="0" applyFont="1" applyFill="1" applyBorder="1" applyAlignment="1">
      <alignment horizontal="left" vertical="center"/>
    </xf>
    <xf numFmtId="0" fontId="3" fillId="0" borderId="38" xfId="0" applyFont="1" applyFill="1" applyBorder="1" applyAlignment="1">
      <alignment horizontal="left" vertical="center"/>
    </xf>
    <xf numFmtId="4" fontId="2" fillId="0" borderId="38" xfId="0" applyNumberFormat="1" applyFont="1" applyFill="1" applyBorder="1" applyAlignment="1">
      <alignment horizontal="right" vertical="center"/>
    </xf>
    <xf numFmtId="0" fontId="2" fillId="0" borderId="39" xfId="0" applyFont="1" applyFill="1" applyBorder="1" applyAlignment="1">
      <alignment horizontal="right" vertical="center"/>
    </xf>
    <xf numFmtId="0" fontId="2" fillId="0" borderId="35" xfId="0" applyFont="1" applyFill="1" applyBorder="1" applyAlignment="1">
      <alignment horizontal="left" vertical="center"/>
    </xf>
    <xf numFmtId="4" fontId="2" fillId="0" borderId="35" xfId="0" applyNumberFormat="1" applyFont="1" applyFill="1" applyBorder="1" applyAlignment="1">
      <alignment horizontal="right" vertical="center"/>
    </xf>
    <xf numFmtId="0" fontId="2" fillId="0" borderId="36" xfId="0" applyFont="1" applyFill="1" applyBorder="1" applyAlignment="1">
      <alignment horizontal="right" vertical="center"/>
    </xf>
    <xf numFmtId="0" fontId="3" fillId="0" borderId="43" xfId="0" applyFont="1" applyFill="1" applyBorder="1" applyAlignment="1">
      <alignment horizontal="left" vertical="center"/>
    </xf>
    <xf numFmtId="0" fontId="3" fillId="0" borderId="44" xfId="0" applyFont="1" applyFill="1" applyBorder="1" applyAlignment="1">
      <alignment horizontal="left" vertical="center"/>
    </xf>
    <xf numFmtId="4" fontId="3" fillId="0" borderId="44" xfId="0" applyNumberFormat="1" applyFont="1" applyFill="1" applyBorder="1" applyAlignment="1">
      <alignment horizontal="right" vertical="center"/>
    </xf>
    <xf numFmtId="0" fontId="3" fillId="0" borderId="45" xfId="0" applyFont="1" applyFill="1" applyBorder="1" applyAlignment="1">
      <alignment horizontal="right" vertical="center"/>
    </xf>
    <xf numFmtId="0" fontId="0" fillId="0" borderId="31" xfId="0" applyFill="1" applyBorder="1"/>
    <xf numFmtId="0" fontId="6" fillId="0" borderId="32" xfId="0" applyFont="1" applyFill="1" applyBorder="1" applyAlignment="1">
      <alignment horizontal="left" vertical="center"/>
    </xf>
    <xf numFmtId="0" fontId="4" fillId="0" borderId="32" xfId="0" applyFont="1" applyFill="1" applyBorder="1" applyAlignment="1">
      <alignment horizontal="left" vertical="center"/>
    </xf>
    <xf numFmtId="4" fontId="6" fillId="0" borderId="32" xfId="0" applyNumberFormat="1" applyFont="1" applyFill="1" applyBorder="1" applyAlignment="1">
      <alignment horizontal="right" vertical="center"/>
    </xf>
    <xf numFmtId="0" fontId="0" fillId="0" borderId="33" xfId="0" applyFill="1" applyBorder="1"/>
    <xf numFmtId="0" fontId="0" fillId="0" borderId="43" xfId="0" applyFill="1" applyBorder="1"/>
    <xf numFmtId="0" fontId="0" fillId="0" borderId="5" xfId="0" applyFill="1" applyBorder="1"/>
    <xf numFmtId="0" fontId="0" fillId="0" borderId="46" xfId="0" applyFill="1" applyBorder="1"/>
    <xf numFmtId="0" fontId="0" fillId="0" borderId="47" xfId="0" applyFill="1" applyBorder="1"/>
    <xf numFmtId="0" fontId="6" fillId="0" borderId="47" xfId="0" applyFont="1" applyFill="1" applyBorder="1" applyAlignment="1">
      <alignment horizontal="left" vertical="center"/>
    </xf>
    <xf numFmtId="0" fontId="4" fillId="0" borderId="47" xfId="0" applyFont="1" applyFill="1" applyBorder="1" applyAlignment="1">
      <alignment horizontal="left" vertical="center"/>
    </xf>
    <xf numFmtId="4" fontId="6" fillId="0" borderId="47" xfId="0" applyNumberFormat="1" applyFont="1" applyFill="1" applyBorder="1" applyAlignment="1">
      <alignment horizontal="right" vertical="center"/>
    </xf>
    <xf numFmtId="0" fontId="0" fillId="0" borderId="48" xfId="0" applyFill="1" applyBorder="1"/>
    <xf numFmtId="4" fontId="2" fillId="0" borderId="49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left" vertical="center"/>
    </xf>
    <xf numFmtId="0" fontId="4" fillId="0" borderId="38" xfId="0" applyFont="1" applyFill="1" applyBorder="1" applyAlignment="1">
      <alignment horizontal="left" vertical="center" wrapText="1"/>
    </xf>
    <xf numFmtId="0" fontId="4" fillId="0" borderId="38" xfId="0" applyFont="1" applyFill="1" applyBorder="1" applyAlignment="1">
      <alignment horizontal="left" vertical="center"/>
    </xf>
    <xf numFmtId="0" fontId="4" fillId="0" borderId="39" xfId="0" applyFont="1" applyFill="1" applyBorder="1" applyAlignment="1">
      <alignment horizontal="left" vertical="center"/>
    </xf>
    <xf numFmtId="0" fontId="3" fillId="0" borderId="44" xfId="0" applyFont="1" applyFill="1" applyBorder="1" applyAlignment="1">
      <alignment horizontal="left" vertical="center" wrapText="1"/>
    </xf>
    <xf numFmtId="0" fontId="3" fillId="0" borderId="44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2" fillId="0" borderId="49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4" fillId="0" borderId="44" xfId="0" applyFont="1" applyFill="1" applyBorder="1" applyAlignment="1">
      <alignment horizontal="left" vertical="center" wrapText="1"/>
    </xf>
    <xf numFmtId="0" fontId="4" fillId="0" borderId="44" xfId="0" applyFont="1" applyFill="1" applyBorder="1" applyAlignment="1">
      <alignment horizontal="left" vertical="center"/>
    </xf>
    <xf numFmtId="0" fontId="4" fillId="0" borderId="45" xfId="0" applyFont="1" applyFill="1" applyBorder="1" applyAlignment="1">
      <alignment horizontal="left" vertical="center"/>
    </xf>
    <xf numFmtId="0" fontId="2" fillId="0" borderId="32" xfId="0" applyFont="1" applyFill="1" applyBorder="1" applyAlignment="1">
      <alignment horizontal="left" vertical="center" wrapText="1"/>
    </xf>
    <xf numFmtId="0" fontId="2" fillId="0" borderId="32" xfId="0" applyFont="1" applyFill="1" applyBorder="1" applyAlignment="1">
      <alignment horizontal="left" vertical="center"/>
    </xf>
    <xf numFmtId="0" fontId="3" fillId="0" borderId="35" xfId="0" applyFont="1" applyFill="1" applyBorder="1" applyAlignment="1">
      <alignment horizontal="left" vertical="center" wrapText="1"/>
    </xf>
    <xf numFmtId="0" fontId="3" fillId="0" borderId="35" xfId="0" applyFont="1" applyFill="1" applyBorder="1" applyAlignment="1">
      <alignment horizontal="left" vertical="center"/>
    </xf>
    <xf numFmtId="0" fontId="3" fillId="0" borderId="41" xfId="0" applyFont="1" applyFill="1" applyBorder="1" applyAlignment="1">
      <alignment horizontal="left" vertical="center" wrapText="1"/>
    </xf>
    <xf numFmtId="0" fontId="3" fillId="0" borderId="41" xfId="0" applyFont="1" applyFill="1" applyBorder="1" applyAlignment="1">
      <alignment horizontal="left" vertical="center"/>
    </xf>
    <xf numFmtId="0" fontId="2" fillId="0" borderId="38" xfId="0" applyFont="1" applyFill="1" applyBorder="1" applyAlignment="1">
      <alignment horizontal="left" vertical="center" wrapText="1"/>
    </xf>
    <xf numFmtId="0" fontId="2" fillId="0" borderId="38" xfId="0" applyFont="1" applyFill="1" applyBorder="1" applyAlignment="1">
      <alignment horizontal="left" vertical="center"/>
    </xf>
    <xf numFmtId="0" fontId="2" fillId="0" borderId="41" xfId="0" applyFont="1" applyFill="1" applyBorder="1" applyAlignment="1">
      <alignment horizontal="left" vertical="center" wrapText="1"/>
    </xf>
    <xf numFmtId="0" fontId="2" fillId="0" borderId="41" xfId="0" applyFont="1" applyFill="1" applyBorder="1" applyAlignment="1">
      <alignment horizontal="left" vertical="center"/>
    </xf>
    <xf numFmtId="0" fontId="2" fillId="0" borderId="35" xfId="0" applyFont="1" applyFill="1" applyBorder="1" applyAlignment="1">
      <alignment horizontal="left" vertical="center" wrapText="1"/>
    </xf>
    <xf numFmtId="0" fontId="2" fillId="0" borderId="35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0" fontId="7" fillId="0" borderId="35" xfId="0" applyFont="1" applyFill="1" applyBorder="1" applyAlignment="1">
      <alignment horizontal="left" vertical="center" wrapText="1"/>
    </xf>
    <xf numFmtId="0" fontId="7" fillId="0" borderId="35" xfId="0" applyFont="1" applyFill="1" applyBorder="1" applyAlignment="1">
      <alignment horizontal="left" vertical="center"/>
    </xf>
    <xf numFmtId="0" fontId="2" fillId="0" borderId="21" xfId="0" applyFont="1" applyFill="1" applyBorder="1" applyAlignment="1">
      <alignment horizontal="left" vertical="center"/>
    </xf>
    <xf numFmtId="0" fontId="2" fillId="0" borderId="22" xfId="0" applyFont="1" applyFill="1" applyBorder="1" applyAlignment="1">
      <alignment horizontal="left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left" vertical="center" wrapText="1"/>
    </xf>
    <xf numFmtId="0" fontId="2" fillId="0" borderId="29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/>
    </xf>
    <xf numFmtId="0" fontId="3" fillId="0" borderId="8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left" vertical="center"/>
    </xf>
    <xf numFmtId="0" fontId="2" fillId="0" borderId="12" xfId="0" applyFont="1" applyFill="1" applyBorder="1" applyAlignment="1">
      <alignment horizontal="left" vertical="center"/>
    </xf>
    <xf numFmtId="0" fontId="2" fillId="0" borderId="13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4" fillId="0" borderId="71" xfId="0" applyFont="1" applyBorder="1" applyAlignment="1">
      <alignment horizontal="left" vertical="center"/>
    </xf>
    <xf numFmtId="0" fontId="14" fillId="0" borderId="69" xfId="0" applyFont="1" applyBorder="1" applyAlignment="1">
      <alignment horizontal="left" vertical="center"/>
    </xf>
    <xf numFmtId="0" fontId="14" fillId="0" borderId="70" xfId="0" applyFont="1" applyBorder="1" applyAlignment="1">
      <alignment horizontal="left" vertical="center"/>
    </xf>
    <xf numFmtId="0" fontId="14" fillId="0" borderId="74" xfId="0" applyFont="1" applyBorder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4" fillId="0" borderId="73" xfId="0" applyFont="1" applyBorder="1" applyAlignment="1">
      <alignment horizontal="left" vertical="center"/>
    </xf>
    <xf numFmtId="0" fontId="14" fillId="0" borderId="78" xfId="0" applyFont="1" applyBorder="1" applyAlignment="1">
      <alignment horizontal="left" vertical="center"/>
    </xf>
    <xf numFmtId="0" fontId="14" fillId="0" borderId="76" xfId="0" applyFont="1" applyBorder="1" applyAlignment="1">
      <alignment horizontal="left" vertical="center"/>
    </xf>
    <xf numFmtId="0" fontId="14" fillId="0" borderId="77" xfId="0" applyFont="1" applyBorder="1" applyAlignment="1">
      <alignment horizontal="left" vertical="center"/>
    </xf>
    <xf numFmtId="0" fontId="14" fillId="0" borderId="68" xfId="0" applyFont="1" applyBorder="1" applyAlignment="1">
      <alignment horizontal="left" vertical="center"/>
    </xf>
    <xf numFmtId="0" fontId="14" fillId="0" borderId="72" xfId="0" applyFont="1" applyBorder="1" applyAlignment="1">
      <alignment horizontal="left" vertical="center"/>
    </xf>
    <xf numFmtId="0" fontId="14" fillId="0" borderId="75" xfId="0" applyFont="1" applyBorder="1" applyAlignment="1">
      <alignment horizontal="left" vertical="center"/>
    </xf>
    <xf numFmtId="0" fontId="13" fillId="0" borderId="60" xfId="0" applyFont="1" applyBorder="1" applyAlignment="1">
      <alignment horizontal="left" vertical="center"/>
    </xf>
    <xf numFmtId="0" fontId="13" fillId="0" borderId="58" xfId="0" applyFont="1" applyBorder="1" applyAlignment="1">
      <alignment horizontal="left" vertical="center"/>
    </xf>
    <xf numFmtId="0" fontId="13" fillId="2" borderId="65" xfId="0" applyFont="1" applyFill="1" applyBorder="1" applyAlignment="1">
      <alignment horizontal="left" vertical="center"/>
    </xf>
    <xf numFmtId="0" fontId="13" fillId="2" borderId="66" xfId="0" applyFont="1" applyFill="1" applyBorder="1" applyAlignment="1">
      <alignment horizontal="left" vertical="center"/>
    </xf>
    <xf numFmtId="0" fontId="13" fillId="2" borderId="60" xfId="0" applyFont="1" applyFill="1" applyBorder="1" applyAlignment="1">
      <alignment horizontal="left" vertical="center"/>
    </xf>
    <xf numFmtId="0" fontId="13" fillId="2" borderId="67" xfId="0" applyFont="1" applyFill="1" applyBorder="1" applyAlignment="1">
      <alignment horizontal="left" vertical="center"/>
    </xf>
    <xf numFmtId="0" fontId="13" fillId="2" borderId="52" xfId="0" applyFont="1" applyFill="1" applyBorder="1" applyAlignment="1">
      <alignment horizontal="left" vertical="center"/>
    </xf>
    <xf numFmtId="0" fontId="13" fillId="2" borderId="57" xfId="0" applyFont="1" applyFill="1" applyBorder="1" applyAlignment="1">
      <alignment horizontal="left" vertical="center"/>
    </xf>
    <xf numFmtId="0" fontId="14" fillId="0" borderId="57" xfId="0" applyFont="1" applyBorder="1" applyAlignment="1">
      <alignment horizontal="left" vertical="center"/>
    </xf>
    <xf numFmtId="0" fontId="14" fillId="0" borderId="58" xfId="0" applyFont="1" applyBorder="1" applyAlignment="1">
      <alignment horizontal="left" vertical="center"/>
    </xf>
    <xf numFmtId="0" fontId="14" fillId="0" borderId="64" xfId="0" applyFont="1" applyBorder="1" applyAlignment="1">
      <alignment horizontal="left" vertical="center"/>
    </xf>
    <xf numFmtId="0" fontId="14" fillId="0" borderId="62" xfId="0" applyFont="1" applyBorder="1" applyAlignment="1">
      <alignment horizontal="left" vertical="center"/>
    </xf>
    <xf numFmtId="0" fontId="13" fillId="0" borderId="52" xfId="0" applyFont="1" applyBorder="1" applyAlignment="1">
      <alignment horizontal="left" vertical="center"/>
    </xf>
    <xf numFmtId="0" fontId="13" fillId="0" borderId="53" xfId="0" applyFont="1" applyBorder="1" applyAlignment="1">
      <alignment horizontal="left" vertical="center"/>
    </xf>
    <xf numFmtId="0" fontId="13" fillId="0" borderId="57" xfId="0" applyFont="1" applyBorder="1" applyAlignment="1">
      <alignment horizontal="left" vertical="center"/>
    </xf>
    <xf numFmtId="0" fontId="13" fillId="0" borderId="61" xfId="0" applyFont="1" applyBorder="1" applyAlignment="1">
      <alignment horizontal="left" vertical="center"/>
    </xf>
    <xf numFmtId="0" fontId="13" fillId="0" borderId="62" xfId="0" applyFont="1" applyBorder="1" applyAlignment="1">
      <alignment horizontal="left" vertical="center"/>
    </xf>
    <xf numFmtId="0" fontId="13" fillId="0" borderId="6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0" fontId="3" fillId="0" borderId="48" xfId="0" applyFont="1" applyBorder="1" applyAlignment="1">
      <alignment horizontal="left" vertical="center"/>
    </xf>
    <xf numFmtId="0" fontId="10" fillId="0" borderId="50" xfId="0" applyFont="1" applyBorder="1" applyAlignment="1">
      <alignment horizontal="center" vertical="center"/>
    </xf>
    <xf numFmtId="0" fontId="12" fillId="0" borderId="52" xfId="0" applyFont="1" applyBorder="1" applyAlignment="1">
      <alignment horizontal="left" vertical="center"/>
    </xf>
    <xf numFmtId="0" fontId="12" fillId="0" borderId="53" xfId="0" applyFont="1" applyBorder="1" applyAlignment="1">
      <alignment horizontal="left" vertical="center"/>
    </xf>
    <xf numFmtId="0" fontId="3" fillId="0" borderId="47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 wrapText="1"/>
    </xf>
    <xf numFmtId="0" fontId="3" fillId="0" borderId="46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1" fontId="3" fillId="0" borderId="6" xfId="0" applyNumberFormat="1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84" xfId="0" applyFont="1" applyBorder="1" applyAlignment="1">
      <alignment horizontal="left" vertical="center"/>
    </xf>
    <xf numFmtId="0" fontId="2" fillId="0" borderId="85" xfId="0" applyFont="1" applyBorder="1" applyAlignment="1">
      <alignment horizontal="left" vertical="center"/>
    </xf>
    <xf numFmtId="0" fontId="2" fillId="0" borderId="86" xfId="0" applyFont="1" applyBorder="1" applyAlignment="1">
      <alignment horizontal="left" vertical="center"/>
    </xf>
    <xf numFmtId="0" fontId="13" fillId="0" borderId="84" xfId="0" applyFont="1" applyBorder="1" applyAlignment="1">
      <alignment horizontal="left" vertical="center"/>
    </xf>
    <xf numFmtId="0" fontId="13" fillId="0" borderId="85" xfId="0" applyFont="1" applyBorder="1" applyAlignment="1">
      <alignment horizontal="left" vertical="center"/>
    </xf>
    <xf numFmtId="0" fontId="13" fillId="0" borderId="86" xfId="0" applyFont="1" applyBorder="1" applyAlignment="1">
      <alignment horizontal="left" vertical="center"/>
    </xf>
    <xf numFmtId="4" fontId="13" fillId="0" borderId="88" xfId="0" applyNumberFormat="1" applyFont="1" applyBorder="1" applyAlignment="1">
      <alignment horizontal="right" vertical="center"/>
    </xf>
    <xf numFmtId="0" fontId="13" fillId="0" borderId="85" xfId="0" applyFont="1" applyBorder="1" applyAlignment="1">
      <alignment horizontal="right" vertical="center"/>
    </xf>
    <xf numFmtId="0" fontId="13" fillId="0" borderId="86" xfId="0" applyFont="1" applyBorder="1" applyAlignment="1">
      <alignment horizontal="right" vertical="center"/>
    </xf>
    <xf numFmtId="0" fontId="13" fillId="0" borderId="8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3" fillId="0" borderId="80" xfId="0" applyFont="1" applyBorder="1" applyAlignment="1">
      <alignment horizontal="left" vertical="center"/>
    </xf>
    <xf numFmtId="0" fontId="3" fillId="0" borderId="81" xfId="0" applyFont="1" applyBorder="1" applyAlignment="1">
      <alignment horizontal="left" vertical="center"/>
    </xf>
    <xf numFmtId="0" fontId="3" fillId="0" borderId="82" xfId="0" applyFont="1" applyBorder="1" applyAlignment="1">
      <alignment horizontal="left" vertical="center"/>
    </xf>
    <xf numFmtId="0" fontId="3" fillId="0" borderId="60" xfId="0" applyFont="1" applyBorder="1" applyAlignment="1">
      <alignment horizontal="left" vertical="center"/>
    </xf>
    <xf numFmtId="0" fontId="3" fillId="0" borderId="67" xfId="0" applyFont="1" applyBorder="1" applyAlignment="1">
      <alignment horizontal="left" vertical="center"/>
    </xf>
    <xf numFmtId="0" fontId="3" fillId="0" borderId="58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7"/>
  <sheetViews>
    <sheetView tabSelected="1" workbookViewId="0">
      <selection activeCell="M9" sqref="M9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7.140625" customWidth="1"/>
    <col min="4" max="4" width="10" customWidth="1"/>
    <col min="5" max="5" width="14" customWidth="1"/>
    <col min="6" max="6" width="27.140625" customWidth="1"/>
    <col min="7" max="7" width="9.140625" customWidth="1"/>
    <col min="8" max="8" width="12.85546875" customWidth="1"/>
    <col min="9" max="9" width="27.140625" customWidth="1"/>
  </cols>
  <sheetData>
    <row r="1" spans="1:9" ht="54.75" customHeight="1" x14ac:dyDescent="0.25">
      <c r="A1" s="210" t="s">
        <v>350</v>
      </c>
      <c r="B1" s="211"/>
      <c r="C1" s="211"/>
      <c r="D1" s="211"/>
      <c r="E1" s="211"/>
      <c r="F1" s="211"/>
      <c r="G1" s="211"/>
      <c r="H1" s="211"/>
      <c r="I1" s="211"/>
    </row>
    <row r="2" spans="1:9" x14ac:dyDescent="0.25">
      <c r="A2" s="212" t="s">
        <v>1</v>
      </c>
      <c r="B2" s="213"/>
      <c r="C2" s="218" t="str">
        <f>'Stavební rozpočet'!C2</f>
        <v>Stavební úpravy tělocvičny v Řeznovicích - práce 2M</v>
      </c>
      <c r="D2" s="219"/>
      <c r="E2" s="209" t="s">
        <v>5</v>
      </c>
      <c r="F2" s="209" t="str">
        <f>'Stavební rozpočet'!I2</f>
        <v>Město ivančice</v>
      </c>
      <c r="G2" s="213"/>
      <c r="H2" s="209" t="s">
        <v>351</v>
      </c>
      <c r="I2" s="215" t="s">
        <v>352</v>
      </c>
    </row>
    <row r="3" spans="1:9" ht="15" customHeight="1" x14ac:dyDescent="0.25">
      <c r="A3" s="214"/>
      <c r="B3" s="170"/>
      <c r="C3" s="220"/>
      <c r="D3" s="220"/>
      <c r="E3" s="170"/>
      <c r="F3" s="170"/>
      <c r="G3" s="170"/>
      <c r="H3" s="170"/>
      <c r="I3" s="216"/>
    </row>
    <row r="4" spans="1:9" x14ac:dyDescent="0.25">
      <c r="A4" s="207" t="s">
        <v>7</v>
      </c>
      <c r="B4" s="170"/>
      <c r="C4" s="169" t="str">
        <f>'Stavební rozpočet'!C4</f>
        <v>Občanská vybavenost</v>
      </c>
      <c r="D4" s="170"/>
      <c r="E4" s="169" t="s">
        <v>10</v>
      </c>
      <c r="F4" s="169" t="str">
        <f>'Stavební rozpočet'!I4</f>
        <v>Tomáš Sýkora</v>
      </c>
      <c r="G4" s="170"/>
      <c r="H4" s="169" t="s">
        <v>351</v>
      </c>
      <c r="I4" s="216" t="s">
        <v>353</v>
      </c>
    </row>
    <row r="5" spans="1:9" ht="15" customHeight="1" x14ac:dyDescent="0.25">
      <c r="A5" s="214"/>
      <c r="B5" s="170"/>
      <c r="C5" s="170"/>
      <c r="D5" s="170"/>
      <c r="E5" s="170"/>
      <c r="F5" s="170"/>
      <c r="G5" s="170"/>
      <c r="H5" s="170"/>
      <c r="I5" s="216"/>
    </row>
    <row r="6" spans="1:9" x14ac:dyDescent="0.25">
      <c r="A6" s="207" t="s">
        <v>12</v>
      </c>
      <c r="B6" s="170"/>
      <c r="C6" s="169" t="str">
        <f>'Stavební rozpočet'!C6</f>
        <v>Parcela č. 303, 302/1, k.ú. Řeznovice [745421]</v>
      </c>
      <c r="D6" s="170"/>
      <c r="E6" s="169" t="s">
        <v>15</v>
      </c>
      <c r="F6" s="169" t="str">
        <f>'Stavební rozpočet'!I6</f>
        <v> </v>
      </c>
      <c r="G6" s="170"/>
      <c r="H6" s="169" t="s">
        <v>351</v>
      </c>
      <c r="I6" s="216" t="s">
        <v>50</v>
      </c>
    </row>
    <row r="7" spans="1:9" ht="15" customHeight="1" x14ac:dyDescent="0.25">
      <c r="A7" s="214"/>
      <c r="B7" s="170"/>
      <c r="C7" s="170"/>
      <c r="D7" s="170"/>
      <c r="E7" s="170"/>
      <c r="F7" s="170"/>
      <c r="G7" s="170"/>
      <c r="H7" s="170"/>
      <c r="I7" s="216"/>
    </row>
    <row r="8" spans="1:9" x14ac:dyDescent="0.25">
      <c r="A8" s="207" t="s">
        <v>9</v>
      </c>
      <c r="B8" s="170"/>
      <c r="C8" s="169" t="str">
        <f>'Stavební rozpočet'!G4</f>
        <v xml:space="preserve"> </v>
      </c>
      <c r="D8" s="170"/>
      <c r="E8" s="169" t="s">
        <v>14</v>
      </c>
      <c r="F8" s="169" t="str">
        <f>'Stavební rozpočet'!G6</f>
        <v xml:space="preserve"> </v>
      </c>
      <c r="G8" s="170"/>
      <c r="H8" s="170" t="s">
        <v>354</v>
      </c>
      <c r="I8" s="217">
        <v>45</v>
      </c>
    </row>
    <row r="9" spans="1:9" x14ac:dyDescent="0.25">
      <c r="A9" s="214"/>
      <c r="B9" s="170"/>
      <c r="C9" s="170"/>
      <c r="D9" s="170"/>
      <c r="E9" s="170"/>
      <c r="F9" s="170"/>
      <c r="G9" s="170"/>
      <c r="H9" s="170"/>
      <c r="I9" s="216"/>
    </row>
    <row r="10" spans="1:9" x14ac:dyDescent="0.25">
      <c r="A10" s="207" t="s">
        <v>17</v>
      </c>
      <c r="B10" s="170"/>
      <c r="C10" s="169" t="str">
        <f>'Stavební rozpočet'!C8</f>
        <v>8015114</v>
      </c>
      <c r="D10" s="170"/>
      <c r="E10" s="169" t="s">
        <v>20</v>
      </c>
      <c r="F10" s="169" t="str">
        <f>'Stavební rozpočet'!I8</f>
        <v>Tomáš Sýkora</v>
      </c>
      <c r="G10" s="170"/>
      <c r="H10" s="170" t="s">
        <v>355</v>
      </c>
      <c r="I10" s="201">
        <f>'Stavební rozpočet'!G8</f>
        <v>0</v>
      </c>
    </row>
    <row r="11" spans="1:9" x14ac:dyDescent="0.25">
      <c r="A11" s="208"/>
      <c r="B11" s="206"/>
      <c r="C11" s="206"/>
      <c r="D11" s="206"/>
      <c r="E11" s="206"/>
      <c r="F11" s="206"/>
      <c r="G11" s="206"/>
      <c r="H11" s="206"/>
      <c r="I11" s="202"/>
    </row>
    <row r="12" spans="1:9" ht="23.25" x14ac:dyDescent="0.25">
      <c r="A12" s="203" t="s">
        <v>356</v>
      </c>
      <c r="B12" s="203"/>
      <c r="C12" s="203"/>
      <c r="D12" s="203"/>
      <c r="E12" s="203"/>
      <c r="F12" s="203"/>
      <c r="G12" s="203"/>
      <c r="H12" s="203"/>
      <c r="I12" s="203"/>
    </row>
    <row r="13" spans="1:9" ht="26.25" customHeight="1" x14ac:dyDescent="0.25">
      <c r="A13" s="1" t="s">
        <v>357</v>
      </c>
      <c r="B13" s="204" t="s">
        <v>358</v>
      </c>
      <c r="C13" s="205"/>
      <c r="D13" s="2" t="s">
        <v>359</v>
      </c>
      <c r="E13" s="204" t="s">
        <v>360</v>
      </c>
      <c r="F13" s="205"/>
      <c r="G13" s="2" t="s">
        <v>361</v>
      </c>
      <c r="H13" s="204" t="s">
        <v>362</v>
      </c>
      <c r="I13" s="205"/>
    </row>
    <row r="14" spans="1:9" ht="15.75" x14ac:dyDescent="0.25">
      <c r="A14" s="3" t="s">
        <v>363</v>
      </c>
      <c r="B14" s="4" t="s">
        <v>364</v>
      </c>
      <c r="C14" s="5">
        <f>SUM('Stavební rozpočet'!AB12:AB159)</f>
        <v>0</v>
      </c>
      <c r="D14" s="191" t="s">
        <v>365</v>
      </c>
      <c r="E14" s="192"/>
      <c r="F14" s="5">
        <f>VORN!I15</f>
        <v>0</v>
      </c>
      <c r="G14" s="191" t="s">
        <v>366</v>
      </c>
      <c r="H14" s="192"/>
      <c r="I14" s="6">
        <f>VORN!I21</f>
        <v>0</v>
      </c>
    </row>
    <row r="15" spans="1:9" ht="15.75" x14ac:dyDescent="0.25">
      <c r="A15" s="7" t="s">
        <v>50</v>
      </c>
      <c r="B15" s="4" t="s">
        <v>35</v>
      </c>
      <c r="C15" s="5">
        <f>SUM('Stavební rozpočet'!AC12:AC159)</f>
        <v>0</v>
      </c>
      <c r="D15" s="191" t="s">
        <v>367</v>
      </c>
      <c r="E15" s="192"/>
      <c r="F15" s="5">
        <f>VORN!I16</f>
        <v>0</v>
      </c>
      <c r="G15" s="191" t="s">
        <v>368</v>
      </c>
      <c r="H15" s="192"/>
      <c r="I15" s="6">
        <f>VORN!I22</f>
        <v>0</v>
      </c>
    </row>
    <row r="16" spans="1:9" ht="15.75" x14ac:dyDescent="0.25">
      <c r="A16" s="3" t="s">
        <v>369</v>
      </c>
      <c r="B16" s="4" t="s">
        <v>364</v>
      </c>
      <c r="C16" s="5">
        <f>SUM('Stavební rozpočet'!AD12:AD159)</f>
        <v>0</v>
      </c>
      <c r="D16" s="191" t="s">
        <v>370</v>
      </c>
      <c r="E16" s="192"/>
      <c r="F16" s="5">
        <f>VORN!I17</f>
        <v>0</v>
      </c>
      <c r="G16" s="191" t="s">
        <v>371</v>
      </c>
      <c r="H16" s="192"/>
      <c r="I16" s="6">
        <f>VORN!I23</f>
        <v>0</v>
      </c>
    </row>
    <row r="17" spans="1:9" ht="15.75" x14ac:dyDescent="0.25">
      <c r="A17" s="7" t="s">
        <v>50</v>
      </c>
      <c r="B17" s="4" t="s">
        <v>35</v>
      </c>
      <c r="C17" s="5">
        <f>SUM('Stavební rozpočet'!AE12:AE159)</f>
        <v>0</v>
      </c>
      <c r="D17" s="191" t="s">
        <v>50</v>
      </c>
      <c r="E17" s="192"/>
      <c r="F17" s="6" t="s">
        <v>50</v>
      </c>
      <c r="G17" s="191" t="s">
        <v>372</v>
      </c>
      <c r="H17" s="192"/>
      <c r="I17" s="6">
        <f>VORN!I24</f>
        <v>0</v>
      </c>
    </row>
    <row r="18" spans="1:9" ht="15.75" x14ac:dyDescent="0.25">
      <c r="A18" s="3" t="s">
        <v>373</v>
      </c>
      <c r="B18" s="4" t="s">
        <v>364</v>
      </c>
      <c r="C18" s="5">
        <f>SUM('Stavební rozpočet'!AF12:AF159)</f>
        <v>0</v>
      </c>
      <c r="D18" s="191" t="s">
        <v>50</v>
      </c>
      <c r="E18" s="192"/>
      <c r="F18" s="6" t="s">
        <v>50</v>
      </c>
      <c r="G18" s="191" t="s">
        <v>374</v>
      </c>
      <c r="H18" s="192"/>
      <c r="I18" s="6">
        <f>VORN!I25</f>
        <v>0</v>
      </c>
    </row>
    <row r="19" spans="1:9" ht="15.75" x14ac:dyDescent="0.25">
      <c r="A19" s="7" t="s">
        <v>50</v>
      </c>
      <c r="B19" s="4" t="s">
        <v>35</v>
      </c>
      <c r="C19" s="5">
        <f>SUM('Stavební rozpočet'!AG12:AG159)</f>
        <v>0</v>
      </c>
      <c r="D19" s="191" t="s">
        <v>50</v>
      </c>
      <c r="E19" s="192"/>
      <c r="F19" s="6" t="s">
        <v>50</v>
      </c>
      <c r="G19" s="191" t="s">
        <v>375</v>
      </c>
      <c r="H19" s="192"/>
      <c r="I19" s="6">
        <f>VORN!I26</f>
        <v>0</v>
      </c>
    </row>
    <row r="20" spans="1:9" ht="15.75" x14ac:dyDescent="0.25">
      <c r="A20" s="183" t="s">
        <v>376</v>
      </c>
      <c r="B20" s="184"/>
      <c r="C20" s="5">
        <f>SUM('Stavební rozpočet'!AH12:AH159)</f>
        <v>0</v>
      </c>
      <c r="D20" s="191" t="s">
        <v>50</v>
      </c>
      <c r="E20" s="192"/>
      <c r="F20" s="6" t="s">
        <v>50</v>
      </c>
      <c r="G20" s="191" t="s">
        <v>50</v>
      </c>
      <c r="H20" s="192"/>
      <c r="I20" s="6" t="s">
        <v>50</v>
      </c>
    </row>
    <row r="21" spans="1:9" ht="15.75" x14ac:dyDescent="0.25">
      <c r="A21" s="198" t="s">
        <v>377</v>
      </c>
      <c r="B21" s="199"/>
      <c r="C21" s="8">
        <f>SUM('Stavební rozpočet'!Z12:Z159)</f>
        <v>0</v>
      </c>
      <c r="D21" s="193" t="s">
        <v>50</v>
      </c>
      <c r="E21" s="194"/>
      <c r="F21" s="9" t="s">
        <v>50</v>
      </c>
      <c r="G21" s="193" t="s">
        <v>50</v>
      </c>
      <c r="H21" s="194"/>
      <c r="I21" s="9" t="s">
        <v>50</v>
      </c>
    </row>
    <row r="22" spans="1:9" ht="16.5" customHeight="1" x14ac:dyDescent="0.25">
      <c r="A22" s="200" t="s">
        <v>378</v>
      </c>
      <c r="B22" s="196"/>
      <c r="C22" s="10">
        <f>SUM(C14:C21)</f>
        <v>0</v>
      </c>
      <c r="D22" s="195" t="s">
        <v>379</v>
      </c>
      <c r="E22" s="196"/>
      <c r="F22" s="10">
        <f>SUM(F14:F21)</f>
        <v>0</v>
      </c>
      <c r="G22" s="195" t="s">
        <v>380</v>
      </c>
      <c r="H22" s="196"/>
      <c r="I22" s="10">
        <f>SUM(I14:I21)</f>
        <v>0</v>
      </c>
    </row>
    <row r="23" spans="1:9" ht="15.75" x14ac:dyDescent="0.25">
      <c r="D23" s="183" t="s">
        <v>381</v>
      </c>
      <c r="E23" s="184"/>
      <c r="F23" s="11">
        <v>0</v>
      </c>
      <c r="G23" s="197" t="s">
        <v>382</v>
      </c>
      <c r="H23" s="184"/>
      <c r="I23" s="5">
        <v>0</v>
      </c>
    </row>
    <row r="24" spans="1:9" ht="15.75" x14ac:dyDescent="0.25">
      <c r="G24" s="183" t="s">
        <v>383</v>
      </c>
      <c r="H24" s="184"/>
      <c r="I24" s="8">
        <f>vorn_sum</f>
        <v>0</v>
      </c>
    </row>
    <row r="25" spans="1:9" ht="15.75" x14ac:dyDescent="0.25">
      <c r="G25" s="183" t="s">
        <v>384</v>
      </c>
      <c r="H25" s="184"/>
      <c r="I25" s="10">
        <v>0</v>
      </c>
    </row>
    <row r="27" spans="1:9" ht="15.75" x14ac:dyDescent="0.25">
      <c r="A27" s="185" t="s">
        <v>385</v>
      </c>
      <c r="B27" s="186"/>
      <c r="C27" s="12">
        <f>SUM('Stavební rozpočet'!AJ12:AJ159)</f>
        <v>0</v>
      </c>
    </row>
    <row r="28" spans="1:9" ht="15.75" x14ac:dyDescent="0.25">
      <c r="A28" s="187" t="s">
        <v>386</v>
      </c>
      <c r="B28" s="188"/>
      <c r="C28" s="13">
        <f>SUM('Stavební rozpočet'!AK12:AK159)</f>
        <v>0</v>
      </c>
      <c r="D28" s="189" t="s">
        <v>387</v>
      </c>
      <c r="E28" s="186"/>
      <c r="F28" s="12">
        <f>ROUND(C28*(12/100),2)</f>
        <v>0</v>
      </c>
      <c r="G28" s="189" t="s">
        <v>388</v>
      </c>
      <c r="H28" s="186"/>
      <c r="I28" s="12">
        <f>SUM(C27:C29)</f>
        <v>0</v>
      </c>
    </row>
    <row r="29" spans="1:9" ht="15.75" x14ac:dyDescent="0.25">
      <c r="A29" s="187" t="s">
        <v>389</v>
      </c>
      <c r="B29" s="188"/>
      <c r="C29" s="13">
        <f>SUM('Stavební rozpočet'!AL12:AL159)+(F22+I22+F23+I23+I24+I25)</f>
        <v>0</v>
      </c>
      <c r="D29" s="190" t="s">
        <v>390</v>
      </c>
      <c r="E29" s="188"/>
      <c r="F29" s="13">
        <f>ROUND(C29*(21/100),2)</f>
        <v>0</v>
      </c>
      <c r="G29" s="190" t="s">
        <v>391</v>
      </c>
      <c r="H29" s="188"/>
      <c r="I29" s="13">
        <f>SUM(F28:F29)+I28</f>
        <v>0</v>
      </c>
    </row>
    <row r="31" spans="1:9" x14ac:dyDescent="0.25">
      <c r="A31" s="180" t="s">
        <v>392</v>
      </c>
      <c r="B31" s="172"/>
      <c r="C31" s="173"/>
      <c r="D31" s="171" t="s">
        <v>393</v>
      </c>
      <c r="E31" s="172"/>
      <c r="F31" s="173"/>
      <c r="G31" s="171" t="s">
        <v>394</v>
      </c>
      <c r="H31" s="172"/>
      <c r="I31" s="173"/>
    </row>
    <row r="32" spans="1:9" x14ac:dyDescent="0.25">
      <c r="A32" s="181" t="s">
        <v>50</v>
      </c>
      <c r="B32" s="175"/>
      <c r="C32" s="176"/>
      <c r="D32" s="174" t="s">
        <v>50</v>
      </c>
      <c r="E32" s="175"/>
      <c r="F32" s="176"/>
      <c r="G32" s="174" t="s">
        <v>50</v>
      </c>
      <c r="H32" s="175"/>
      <c r="I32" s="176"/>
    </row>
    <row r="33" spans="1:9" x14ac:dyDescent="0.25">
      <c r="A33" s="181" t="s">
        <v>50</v>
      </c>
      <c r="B33" s="175"/>
      <c r="C33" s="176"/>
      <c r="D33" s="174" t="s">
        <v>50</v>
      </c>
      <c r="E33" s="175"/>
      <c r="F33" s="176"/>
      <c r="G33" s="174" t="s">
        <v>50</v>
      </c>
      <c r="H33" s="175"/>
      <c r="I33" s="176"/>
    </row>
    <row r="34" spans="1:9" x14ac:dyDescent="0.25">
      <c r="A34" s="181" t="s">
        <v>50</v>
      </c>
      <c r="B34" s="175"/>
      <c r="C34" s="176"/>
      <c r="D34" s="174" t="s">
        <v>50</v>
      </c>
      <c r="E34" s="175"/>
      <c r="F34" s="176"/>
      <c r="G34" s="174" t="s">
        <v>50</v>
      </c>
      <c r="H34" s="175"/>
      <c r="I34" s="176"/>
    </row>
    <row r="35" spans="1:9" x14ac:dyDescent="0.25">
      <c r="A35" s="182" t="s">
        <v>395</v>
      </c>
      <c r="B35" s="178"/>
      <c r="C35" s="179"/>
      <c r="D35" s="177" t="s">
        <v>395</v>
      </c>
      <c r="E35" s="178"/>
      <c r="F35" s="179"/>
      <c r="G35" s="177" t="s">
        <v>395</v>
      </c>
      <c r="H35" s="178"/>
      <c r="I35" s="179"/>
    </row>
    <row r="36" spans="1:9" x14ac:dyDescent="0.25">
      <c r="A36" s="14" t="s">
        <v>349</v>
      </c>
    </row>
    <row r="37" spans="1:9" ht="12.75" customHeight="1" x14ac:dyDescent="0.25">
      <c r="A37" s="169" t="s">
        <v>50</v>
      </c>
      <c r="B37" s="170"/>
      <c r="C37" s="170"/>
      <c r="D37" s="170"/>
      <c r="E37" s="170"/>
      <c r="F37" s="170"/>
      <c r="G37" s="170"/>
      <c r="H37" s="170"/>
      <c r="I37" s="170"/>
    </row>
  </sheetData>
  <mergeCells count="83">
    <mergeCell ref="A1:I1"/>
    <mergeCell ref="A2:B3"/>
    <mergeCell ref="A4:B5"/>
    <mergeCell ref="A6:B7"/>
    <mergeCell ref="A8:B9"/>
    <mergeCell ref="F2:G3"/>
    <mergeCell ref="F4:G5"/>
    <mergeCell ref="F6:G7"/>
    <mergeCell ref="F8:G9"/>
    <mergeCell ref="I2:I3"/>
    <mergeCell ref="I4:I5"/>
    <mergeCell ref="I6:I7"/>
    <mergeCell ref="I8:I9"/>
    <mergeCell ref="C2:D3"/>
    <mergeCell ref="C4:D5"/>
    <mergeCell ref="C6:D7"/>
    <mergeCell ref="C8:D9"/>
    <mergeCell ref="C10:D11"/>
    <mergeCell ref="E2:E3"/>
    <mergeCell ref="E4:E5"/>
    <mergeCell ref="E6:E7"/>
    <mergeCell ref="E8:E9"/>
    <mergeCell ref="E10:E11"/>
    <mergeCell ref="H2:H3"/>
    <mergeCell ref="H4:H5"/>
    <mergeCell ref="H6:H7"/>
    <mergeCell ref="H8:H9"/>
    <mergeCell ref="H10:H11"/>
    <mergeCell ref="I10:I11"/>
    <mergeCell ref="A12:I12"/>
    <mergeCell ref="B13:C13"/>
    <mergeCell ref="E13:F13"/>
    <mergeCell ref="H13:I13"/>
    <mergeCell ref="F10:G11"/>
    <mergeCell ref="A10:B11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A27:B27"/>
    <mergeCell ref="A28:B28"/>
    <mergeCell ref="A29:B29"/>
    <mergeCell ref="D28:E28"/>
    <mergeCell ref="D29:E29"/>
    <mergeCell ref="G28:H28"/>
    <mergeCell ref="G29:H29"/>
    <mergeCell ref="A37:I37"/>
    <mergeCell ref="G31:I31"/>
    <mergeCell ref="G32:I32"/>
    <mergeCell ref="G33:I33"/>
    <mergeCell ref="G34:I34"/>
    <mergeCell ref="G35:I35"/>
    <mergeCell ref="D31:F31"/>
    <mergeCell ref="D32:F32"/>
    <mergeCell ref="D33:F33"/>
    <mergeCell ref="D34:F34"/>
    <mergeCell ref="D35:F35"/>
    <mergeCell ref="A31:C31"/>
    <mergeCell ref="A32:C32"/>
    <mergeCell ref="A33:C33"/>
    <mergeCell ref="A34:C34"/>
    <mergeCell ref="A35:C35"/>
  </mergeCells>
  <pageMargins left="0.393999993801117" right="0.393999993801117" top="0.59100002050399802" bottom="0.59100002050399802" header="0" footer="0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Z162"/>
  <sheetViews>
    <sheetView workbookViewId="0">
      <pane ySplit="11" topLeftCell="A132" activePane="bottomLeft" state="frozen"/>
      <selection pane="bottomLeft" activeCell="G8" sqref="G8:G9"/>
    </sheetView>
  </sheetViews>
  <sheetFormatPr defaultColWidth="12.140625" defaultRowHeight="15" customHeight="1" x14ac:dyDescent="0.25"/>
  <cols>
    <col min="1" max="1" width="4" style="23" customWidth="1"/>
    <col min="2" max="2" width="17.85546875" style="23" customWidth="1"/>
    <col min="3" max="3" width="42.85546875" style="23" customWidth="1"/>
    <col min="4" max="4" width="35.7109375" style="23" customWidth="1"/>
    <col min="5" max="5" width="6.7109375" style="23" customWidth="1"/>
    <col min="6" max="6" width="12.85546875" style="23" customWidth="1"/>
    <col min="7" max="7" width="12" style="23" customWidth="1"/>
    <col min="8" max="10" width="15.7109375" style="23" customWidth="1"/>
    <col min="11" max="11" width="13.42578125" style="23" customWidth="1"/>
    <col min="12" max="24" width="12.140625" style="23"/>
    <col min="25" max="75" width="12.140625" style="23" hidden="1"/>
    <col min="76" max="76" width="78.5703125" style="23" hidden="1" customWidth="1"/>
    <col min="77" max="78" width="12.140625" style="23" hidden="1"/>
    <col min="79" max="16384" width="12.140625" style="23"/>
  </cols>
  <sheetData>
    <row r="1" spans="1:76" ht="54.75" customHeight="1" x14ac:dyDescent="0.25">
      <c r="A1" s="162" t="s">
        <v>0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AS1" s="24">
        <f>SUM(AJ1:AJ2)</f>
        <v>0</v>
      </c>
      <c r="AT1" s="24">
        <f>SUM(AK1:AK2)</f>
        <v>0</v>
      </c>
      <c r="AU1" s="24">
        <f>SUM(AL1:AL2)</f>
        <v>0</v>
      </c>
    </row>
    <row r="2" spans="1:76" x14ac:dyDescent="0.25">
      <c r="A2" s="163" t="s">
        <v>1</v>
      </c>
      <c r="B2" s="155"/>
      <c r="C2" s="167" t="s">
        <v>2</v>
      </c>
      <c r="D2" s="168"/>
      <c r="E2" s="155" t="s">
        <v>3</v>
      </c>
      <c r="F2" s="155"/>
      <c r="G2" s="155" t="s">
        <v>4</v>
      </c>
      <c r="H2" s="154" t="s">
        <v>5</v>
      </c>
      <c r="I2" s="154" t="s">
        <v>6</v>
      </c>
      <c r="J2" s="155"/>
      <c r="K2" s="156"/>
    </row>
    <row r="3" spans="1:76" x14ac:dyDescent="0.25">
      <c r="A3" s="164"/>
      <c r="B3" s="127"/>
      <c r="C3" s="144"/>
      <c r="D3" s="144"/>
      <c r="E3" s="127"/>
      <c r="F3" s="127"/>
      <c r="G3" s="127"/>
      <c r="H3" s="127"/>
      <c r="I3" s="127"/>
      <c r="J3" s="127"/>
      <c r="K3" s="157"/>
    </row>
    <row r="4" spans="1:76" x14ac:dyDescent="0.25">
      <c r="A4" s="165" t="s">
        <v>7</v>
      </c>
      <c r="B4" s="127"/>
      <c r="C4" s="126" t="s">
        <v>8</v>
      </c>
      <c r="D4" s="127"/>
      <c r="E4" s="127" t="s">
        <v>9</v>
      </c>
      <c r="F4" s="127"/>
      <c r="G4" s="127" t="s">
        <v>4</v>
      </c>
      <c r="H4" s="126" t="s">
        <v>10</v>
      </c>
      <c r="I4" s="126" t="s">
        <v>11</v>
      </c>
      <c r="J4" s="127"/>
      <c r="K4" s="157"/>
    </row>
    <row r="5" spans="1:76" x14ac:dyDescent="0.25">
      <c r="A5" s="164"/>
      <c r="B5" s="127"/>
      <c r="C5" s="127"/>
      <c r="D5" s="127"/>
      <c r="E5" s="127"/>
      <c r="F5" s="127"/>
      <c r="G5" s="127"/>
      <c r="H5" s="127"/>
      <c r="I5" s="127"/>
      <c r="J5" s="127"/>
      <c r="K5" s="157"/>
    </row>
    <row r="6" spans="1:76" x14ac:dyDescent="0.25">
      <c r="A6" s="165" t="s">
        <v>12</v>
      </c>
      <c r="B6" s="127"/>
      <c r="C6" s="126" t="s">
        <v>13</v>
      </c>
      <c r="D6" s="127"/>
      <c r="E6" s="127" t="s">
        <v>14</v>
      </c>
      <c r="F6" s="127"/>
      <c r="G6" s="127" t="s">
        <v>4</v>
      </c>
      <c r="H6" s="126" t="s">
        <v>15</v>
      </c>
      <c r="I6" s="127" t="s">
        <v>16</v>
      </c>
      <c r="J6" s="127"/>
      <c r="K6" s="157"/>
    </row>
    <row r="7" spans="1:76" x14ac:dyDescent="0.25">
      <c r="A7" s="164"/>
      <c r="B7" s="127"/>
      <c r="C7" s="127"/>
      <c r="D7" s="127"/>
      <c r="E7" s="127"/>
      <c r="F7" s="127"/>
      <c r="G7" s="127"/>
      <c r="H7" s="127"/>
      <c r="I7" s="127"/>
      <c r="J7" s="127"/>
      <c r="K7" s="157"/>
    </row>
    <row r="8" spans="1:76" x14ac:dyDescent="0.25">
      <c r="A8" s="165" t="s">
        <v>17</v>
      </c>
      <c r="B8" s="127"/>
      <c r="C8" s="126" t="s">
        <v>18</v>
      </c>
      <c r="D8" s="127"/>
      <c r="E8" s="127" t="s">
        <v>19</v>
      </c>
      <c r="F8" s="127"/>
      <c r="G8" s="127"/>
      <c r="H8" s="126" t="s">
        <v>20</v>
      </c>
      <c r="I8" s="126" t="s">
        <v>11</v>
      </c>
      <c r="J8" s="127"/>
      <c r="K8" s="157"/>
    </row>
    <row r="9" spans="1:76" x14ac:dyDescent="0.25">
      <c r="A9" s="166"/>
      <c r="B9" s="158"/>
      <c r="C9" s="158"/>
      <c r="D9" s="158"/>
      <c r="E9" s="158"/>
      <c r="F9" s="158"/>
      <c r="G9" s="158"/>
      <c r="H9" s="158"/>
      <c r="I9" s="158"/>
      <c r="J9" s="158"/>
      <c r="K9" s="159"/>
    </row>
    <row r="10" spans="1:76" x14ac:dyDescent="0.25">
      <c r="A10" s="25" t="s">
        <v>21</v>
      </c>
      <c r="B10" s="26" t="s">
        <v>22</v>
      </c>
      <c r="C10" s="160" t="s">
        <v>23</v>
      </c>
      <c r="D10" s="161"/>
      <c r="E10" s="26" t="s">
        <v>24</v>
      </c>
      <c r="F10" s="27" t="s">
        <v>25</v>
      </c>
      <c r="G10" s="28" t="s">
        <v>26</v>
      </c>
      <c r="H10" s="149" t="s">
        <v>27</v>
      </c>
      <c r="I10" s="150"/>
      <c r="J10" s="151"/>
      <c r="K10" s="29" t="s">
        <v>28</v>
      </c>
      <c r="BK10" s="30" t="s">
        <v>29</v>
      </c>
      <c r="BL10" s="30" t="s">
        <v>30</v>
      </c>
      <c r="BW10" s="30" t="s">
        <v>31</v>
      </c>
    </row>
    <row r="11" spans="1:76" x14ac:dyDescent="0.25">
      <c r="A11" s="31" t="s">
        <v>4</v>
      </c>
      <c r="B11" s="32" t="s">
        <v>4</v>
      </c>
      <c r="C11" s="147" t="s">
        <v>32</v>
      </c>
      <c r="D11" s="148"/>
      <c r="E11" s="32" t="s">
        <v>4</v>
      </c>
      <c r="F11" s="32" t="s">
        <v>4</v>
      </c>
      <c r="G11" s="33" t="s">
        <v>33</v>
      </c>
      <c r="H11" s="34" t="s">
        <v>34</v>
      </c>
      <c r="I11" s="35" t="s">
        <v>35</v>
      </c>
      <c r="J11" s="36" t="s">
        <v>36</v>
      </c>
      <c r="K11" s="37" t="s">
        <v>37</v>
      </c>
      <c r="Z11" s="30" t="s">
        <v>38</v>
      </c>
      <c r="AA11" s="30" t="s">
        <v>39</v>
      </c>
      <c r="AB11" s="30" t="s">
        <v>40</v>
      </c>
      <c r="AC11" s="30" t="s">
        <v>41</v>
      </c>
      <c r="AD11" s="30" t="s">
        <v>42</v>
      </c>
      <c r="AE11" s="30" t="s">
        <v>43</v>
      </c>
      <c r="AF11" s="30" t="s">
        <v>44</v>
      </c>
      <c r="AG11" s="30" t="s">
        <v>45</v>
      </c>
      <c r="AH11" s="30" t="s">
        <v>46</v>
      </c>
      <c r="BH11" s="30" t="s">
        <v>47</v>
      </c>
      <c r="BI11" s="30" t="s">
        <v>48</v>
      </c>
      <c r="BJ11" s="30" t="s">
        <v>49</v>
      </c>
    </row>
    <row r="12" spans="1:76" x14ac:dyDescent="0.25">
      <c r="A12" s="38" t="s">
        <v>50</v>
      </c>
      <c r="B12" s="39" t="s">
        <v>50</v>
      </c>
      <c r="C12" s="152" t="s">
        <v>51</v>
      </c>
      <c r="D12" s="153"/>
      <c r="E12" s="40" t="s">
        <v>4</v>
      </c>
      <c r="F12" s="40" t="s">
        <v>4</v>
      </c>
      <c r="G12" s="40" t="s">
        <v>4</v>
      </c>
      <c r="H12" s="41">
        <f>H13+H15+H22+H34+H46+H51+H58+H63+H67+H76+H86+H102+H110+H119+H131+H144+H150</f>
        <v>0</v>
      </c>
      <c r="I12" s="41">
        <f>I13+I15+I22+I34+I46+I51+I58+I63+I67+I76+I86+I102+I110+I119+I131+I144+I150</f>
        <v>0</v>
      </c>
      <c r="J12" s="41">
        <f>J13+J15+J22+J34+J46+J51+J58+J63+J67+J76+J86+J102+J110+J119+J131+J144+J150</f>
        <v>0</v>
      </c>
      <c r="K12" s="42" t="s">
        <v>50</v>
      </c>
    </row>
    <row r="13" spans="1:76" x14ac:dyDescent="0.25">
      <c r="A13" s="43" t="s">
        <v>50</v>
      </c>
      <c r="B13" s="44" t="s">
        <v>52</v>
      </c>
      <c r="C13" s="143" t="s">
        <v>53</v>
      </c>
      <c r="D13" s="144"/>
      <c r="E13" s="45" t="s">
        <v>4</v>
      </c>
      <c r="F13" s="45" t="s">
        <v>4</v>
      </c>
      <c r="G13" s="45" t="s">
        <v>4</v>
      </c>
      <c r="H13" s="24">
        <f>SUM(H14:H14)</f>
        <v>0</v>
      </c>
      <c r="I13" s="24">
        <f>SUM(I14:I14)</f>
        <v>0</v>
      </c>
      <c r="J13" s="24">
        <f>SUM(J14:J14)</f>
        <v>0</v>
      </c>
      <c r="K13" s="46" t="s">
        <v>50</v>
      </c>
      <c r="AI13" s="30" t="s">
        <v>54</v>
      </c>
      <c r="AS13" s="24">
        <f>SUM(AJ14:AJ14)</f>
        <v>0</v>
      </c>
      <c r="AT13" s="24">
        <f>SUM(AK14:AK14)</f>
        <v>0</v>
      </c>
      <c r="AU13" s="24">
        <f>SUM(AL14:AL14)</f>
        <v>0</v>
      </c>
    </row>
    <row r="14" spans="1:76" x14ac:dyDescent="0.25">
      <c r="A14" s="43" t="s">
        <v>55</v>
      </c>
      <c r="B14" s="45" t="s">
        <v>56</v>
      </c>
      <c r="C14" s="126" t="s">
        <v>57</v>
      </c>
      <c r="D14" s="127"/>
      <c r="E14" s="45" t="s">
        <v>58</v>
      </c>
      <c r="F14" s="47">
        <v>1</v>
      </c>
      <c r="G14" s="47">
        <v>0</v>
      </c>
      <c r="H14" s="47">
        <f>F14*AO14</f>
        <v>0</v>
      </c>
      <c r="I14" s="47">
        <f>F14*AP14</f>
        <v>0</v>
      </c>
      <c r="J14" s="47">
        <f>F14*G14</f>
        <v>0</v>
      </c>
      <c r="K14" s="48" t="s">
        <v>59</v>
      </c>
      <c r="Z14" s="47">
        <f>IF(AQ14="5",BJ14,0)</f>
        <v>0</v>
      </c>
      <c r="AB14" s="47">
        <f>IF(AQ14="1",BH14,0)</f>
        <v>0</v>
      </c>
      <c r="AC14" s="47">
        <f>IF(AQ14="1",BI14,0)</f>
        <v>0</v>
      </c>
      <c r="AD14" s="47">
        <f>IF(AQ14="7",BH14,0)</f>
        <v>0</v>
      </c>
      <c r="AE14" s="47">
        <f>IF(AQ14="7",BI14,0)</f>
        <v>0</v>
      </c>
      <c r="AF14" s="47">
        <f>IF(AQ14="2",BH14,0)</f>
        <v>0</v>
      </c>
      <c r="AG14" s="47">
        <f>IF(AQ14="2",BI14,0)</f>
        <v>0</v>
      </c>
      <c r="AH14" s="47">
        <f>IF(AQ14="0",BJ14,0)</f>
        <v>0</v>
      </c>
      <c r="AI14" s="30" t="s">
        <v>54</v>
      </c>
      <c r="AJ14" s="47">
        <f>IF(AN14=0,J14,0)</f>
        <v>0</v>
      </c>
      <c r="AK14" s="47">
        <f>IF(AN14=12,J14,0)</f>
        <v>0</v>
      </c>
      <c r="AL14" s="47">
        <f>IF(AN14=21,J14,0)</f>
        <v>0</v>
      </c>
      <c r="AN14" s="47">
        <v>21</v>
      </c>
      <c r="AO14" s="47">
        <f>G14*0</f>
        <v>0</v>
      </c>
      <c r="AP14" s="47">
        <f>G14*(1-0)</f>
        <v>0</v>
      </c>
      <c r="AQ14" s="49" t="s">
        <v>60</v>
      </c>
      <c r="AV14" s="47">
        <f>AW14+AX14</f>
        <v>0</v>
      </c>
      <c r="AW14" s="47">
        <f>F14*AO14</f>
        <v>0</v>
      </c>
      <c r="AX14" s="47">
        <f>F14*AP14</f>
        <v>0</v>
      </c>
      <c r="AY14" s="49" t="s">
        <v>61</v>
      </c>
      <c r="AZ14" s="49" t="s">
        <v>62</v>
      </c>
      <c r="BA14" s="30" t="s">
        <v>63</v>
      </c>
      <c r="BC14" s="47">
        <f>AW14+AX14</f>
        <v>0</v>
      </c>
      <c r="BD14" s="47">
        <f>G14/(100-BE14)*100</f>
        <v>0</v>
      </c>
      <c r="BE14" s="47">
        <v>0</v>
      </c>
      <c r="BF14" s="47">
        <f>14</f>
        <v>14</v>
      </c>
      <c r="BH14" s="47">
        <f>F14*AO14</f>
        <v>0</v>
      </c>
      <c r="BI14" s="47">
        <f>F14*AP14</f>
        <v>0</v>
      </c>
      <c r="BJ14" s="47">
        <f>F14*G14</f>
        <v>0</v>
      </c>
      <c r="BK14" s="47"/>
      <c r="BL14" s="47"/>
      <c r="BW14" s="47">
        <v>21</v>
      </c>
      <c r="BX14" s="50" t="s">
        <v>57</v>
      </c>
    </row>
    <row r="15" spans="1:76" x14ac:dyDescent="0.25">
      <c r="A15" s="51" t="s">
        <v>50</v>
      </c>
      <c r="B15" s="52" t="s">
        <v>64</v>
      </c>
      <c r="C15" s="131" t="s">
        <v>65</v>
      </c>
      <c r="D15" s="132"/>
      <c r="E15" s="53" t="s">
        <v>4</v>
      </c>
      <c r="F15" s="53" t="s">
        <v>4</v>
      </c>
      <c r="G15" s="53" t="s">
        <v>4</v>
      </c>
      <c r="H15" s="54">
        <f>SUM(H16:H19)</f>
        <v>0</v>
      </c>
      <c r="I15" s="54">
        <f>SUM(I16:I19)</f>
        <v>0</v>
      </c>
      <c r="J15" s="54">
        <f>SUM(J16:J19)</f>
        <v>0</v>
      </c>
      <c r="K15" s="55" t="s">
        <v>50</v>
      </c>
      <c r="AI15" s="30" t="s">
        <v>54</v>
      </c>
      <c r="AS15" s="24">
        <f>SUM(AJ16:AJ19)</f>
        <v>0</v>
      </c>
      <c r="AT15" s="24">
        <f>SUM(AK16:AK19)</f>
        <v>0</v>
      </c>
      <c r="AU15" s="24">
        <f>SUM(AL16:AL19)</f>
        <v>0</v>
      </c>
    </row>
    <row r="16" spans="1:76" x14ac:dyDescent="0.25">
      <c r="A16" s="56" t="s">
        <v>60</v>
      </c>
      <c r="B16" s="57" t="s">
        <v>66</v>
      </c>
      <c r="C16" s="133" t="s">
        <v>67</v>
      </c>
      <c r="D16" s="134"/>
      <c r="E16" s="57" t="s">
        <v>68</v>
      </c>
      <c r="F16" s="58">
        <v>1</v>
      </c>
      <c r="G16" s="58">
        <v>0</v>
      </c>
      <c r="H16" s="58">
        <f>F16*AO16</f>
        <v>0</v>
      </c>
      <c r="I16" s="58">
        <f>F16*AP16</f>
        <v>0</v>
      </c>
      <c r="J16" s="58">
        <f>F16*G16</f>
        <v>0</v>
      </c>
      <c r="K16" s="59" t="s">
        <v>69</v>
      </c>
      <c r="Z16" s="47">
        <f>IF(AQ16="5",BJ16,0)</f>
        <v>0</v>
      </c>
      <c r="AB16" s="47">
        <f>IF(AQ16="1",BH16,0)</f>
        <v>0</v>
      </c>
      <c r="AC16" s="47">
        <f>IF(AQ16="1",BI16,0)</f>
        <v>0</v>
      </c>
      <c r="AD16" s="47">
        <f>IF(AQ16="7",BH16,0)</f>
        <v>0</v>
      </c>
      <c r="AE16" s="47">
        <f>IF(AQ16="7",BI16,0)</f>
        <v>0</v>
      </c>
      <c r="AF16" s="47">
        <f>IF(AQ16="2",BH16,0)</f>
        <v>0</v>
      </c>
      <c r="AG16" s="47">
        <f>IF(AQ16="2",BI16,0)</f>
        <v>0</v>
      </c>
      <c r="AH16" s="47">
        <f>IF(AQ16="0",BJ16,0)</f>
        <v>0</v>
      </c>
      <c r="AI16" s="30" t="s">
        <v>54</v>
      </c>
      <c r="AJ16" s="47">
        <f>IF(AN16=0,J16,0)</f>
        <v>0</v>
      </c>
      <c r="AK16" s="47">
        <f>IF(AN16=12,J16,0)</f>
        <v>0</v>
      </c>
      <c r="AL16" s="47">
        <f>IF(AN16=21,J16,0)</f>
        <v>0</v>
      </c>
      <c r="AN16" s="47">
        <v>21</v>
      </c>
      <c r="AO16" s="47">
        <f>G16*0.96056217</f>
        <v>0</v>
      </c>
      <c r="AP16" s="47">
        <f>G16*(1-0.96056217)</f>
        <v>0</v>
      </c>
      <c r="AQ16" s="49" t="s">
        <v>55</v>
      </c>
      <c r="AV16" s="47">
        <f>AW16+AX16</f>
        <v>0</v>
      </c>
      <c r="AW16" s="47">
        <f>F16*AO16</f>
        <v>0</v>
      </c>
      <c r="AX16" s="47">
        <f>F16*AP16</f>
        <v>0</v>
      </c>
      <c r="AY16" s="49" t="s">
        <v>70</v>
      </c>
      <c r="AZ16" s="49" t="s">
        <v>71</v>
      </c>
      <c r="BA16" s="30" t="s">
        <v>63</v>
      </c>
      <c r="BC16" s="47">
        <f>AW16+AX16</f>
        <v>0</v>
      </c>
      <c r="BD16" s="47">
        <f>G16/(100-BE16)*100</f>
        <v>0</v>
      </c>
      <c r="BE16" s="47">
        <v>0</v>
      </c>
      <c r="BF16" s="47">
        <f>16</f>
        <v>16</v>
      </c>
      <c r="BH16" s="47">
        <f>F16*AO16</f>
        <v>0</v>
      </c>
      <c r="BI16" s="47">
        <f>F16*AP16</f>
        <v>0</v>
      </c>
      <c r="BJ16" s="47">
        <f>F16*G16</f>
        <v>0</v>
      </c>
      <c r="BK16" s="47"/>
      <c r="BL16" s="47">
        <v>31</v>
      </c>
      <c r="BW16" s="47">
        <v>21</v>
      </c>
      <c r="BX16" s="50" t="s">
        <v>67</v>
      </c>
    </row>
    <row r="17" spans="1:76" ht="13.5" customHeight="1" x14ac:dyDescent="0.25">
      <c r="A17" s="60"/>
      <c r="C17" s="117" t="s">
        <v>72</v>
      </c>
      <c r="D17" s="118"/>
      <c r="E17" s="118"/>
      <c r="F17" s="118"/>
      <c r="G17" s="118"/>
      <c r="H17" s="118"/>
      <c r="I17" s="118"/>
      <c r="J17" s="118"/>
      <c r="K17" s="119"/>
    </row>
    <row r="18" spans="1:76" x14ac:dyDescent="0.25">
      <c r="A18" s="61"/>
      <c r="B18" s="62"/>
      <c r="C18" s="63" t="s">
        <v>55</v>
      </c>
      <c r="D18" s="64" t="s">
        <v>73</v>
      </c>
      <c r="E18" s="62"/>
      <c r="F18" s="65">
        <v>1</v>
      </c>
      <c r="G18" s="62"/>
      <c r="H18" s="62"/>
      <c r="I18" s="62"/>
      <c r="J18" s="62"/>
      <c r="K18" s="66"/>
    </row>
    <row r="19" spans="1:76" x14ac:dyDescent="0.25">
      <c r="A19" s="67" t="s">
        <v>74</v>
      </c>
      <c r="B19" s="68" t="s">
        <v>75</v>
      </c>
      <c r="C19" s="135" t="s">
        <v>76</v>
      </c>
      <c r="D19" s="136"/>
      <c r="E19" s="68" t="s">
        <v>77</v>
      </c>
      <c r="F19" s="69">
        <v>5.8815</v>
      </c>
      <c r="G19" s="69">
        <v>0</v>
      </c>
      <c r="H19" s="69">
        <f>F19*AO19</f>
        <v>0</v>
      </c>
      <c r="I19" s="69">
        <f>F19*AP19</f>
        <v>0</v>
      </c>
      <c r="J19" s="69">
        <f>F19*G19</f>
        <v>0</v>
      </c>
      <c r="K19" s="70" t="s">
        <v>69</v>
      </c>
      <c r="Z19" s="47">
        <f>IF(AQ19="5",BJ19,0)</f>
        <v>0</v>
      </c>
      <c r="AB19" s="47">
        <f>IF(AQ19="1",BH19,0)</f>
        <v>0</v>
      </c>
      <c r="AC19" s="47">
        <f>IF(AQ19="1",BI19,0)</f>
        <v>0</v>
      </c>
      <c r="AD19" s="47">
        <f>IF(AQ19="7",BH19,0)</f>
        <v>0</v>
      </c>
      <c r="AE19" s="47">
        <f>IF(AQ19="7",BI19,0)</f>
        <v>0</v>
      </c>
      <c r="AF19" s="47">
        <f>IF(AQ19="2",BH19,0)</f>
        <v>0</v>
      </c>
      <c r="AG19" s="47">
        <f>IF(AQ19="2",BI19,0)</f>
        <v>0</v>
      </c>
      <c r="AH19" s="47">
        <f>IF(AQ19="0",BJ19,0)</f>
        <v>0</v>
      </c>
      <c r="AI19" s="30" t="s">
        <v>54</v>
      </c>
      <c r="AJ19" s="47">
        <f>IF(AN19=0,J19,0)</f>
        <v>0</v>
      </c>
      <c r="AK19" s="47">
        <f>IF(AN19=12,J19,0)</f>
        <v>0</v>
      </c>
      <c r="AL19" s="47">
        <f>IF(AN19=21,J19,0)</f>
        <v>0</v>
      </c>
      <c r="AN19" s="47">
        <v>21</v>
      </c>
      <c r="AO19" s="47">
        <f>G19*0.867747882</f>
        <v>0</v>
      </c>
      <c r="AP19" s="47">
        <f>G19*(1-0.867747882)</f>
        <v>0</v>
      </c>
      <c r="AQ19" s="49" t="s">
        <v>55</v>
      </c>
      <c r="AV19" s="47">
        <f>AW19+AX19</f>
        <v>0</v>
      </c>
      <c r="AW19" s="47">
        <f>F19*AO19</f>
        <v>0</v>
      </c>
      <c r="AX19" s="47">
        <f>F19*AP19</f>
        <v>0</v>
      </c>
      <c r="AY19" s="49" t="s">
        <v>70</v>
      </c>
      <c r="AZ19" s="49" t="s">
        <v>71</v>
      </c>
      <c r="BA19" s="30" t="s">
        <v>63</v>
      </c>
      <c r="BC19" s="47">
        <f>AW19+AX19</f>
        <v>0</v>
      </c>
      <c r="BD19" s="47">
        <f>G19/(100-BE19)*100</f>
        <v>0</v>
      </c>
      <c r="BE19" s="47">
        <v>0</v>
      </c>
      <c r="BF19" s="47">
        <f>19</f>
        <v>19</v>
      </c>
      <c r="BH19" s="47">
        <f>F19*AO19</f>
        <v>0</v>
      </c>
      <c r="BI19" s="47">
        <f>F19*AP19</f>
        <v>0</v>
      </c>
      <c r="BJ19" s="47">
        <f>F19*G19</f>
        <v>0</v>
      </c>
      <c r="BK19" s="47"/>
      <c r="BL19" s="47">
        <v>31</v>
      </c>
      <c r="BW19" s="47">
        <v>21</v>
      </c>
      <c r="BX19" s="50" t="s">
        <v>76</v>
      </c>
    </row>
    <row r="20" spans="1:76" ht="13.5" customHeight="1" x14ac:dyDescent="0.25">
      <c r="A20" s="60"/>
      <c r="C20" s="117" t="s">
        <v>78</v>
      </c>
      <c r="D20" s="118"/>
      <c r="E20" s="118"/>
      <c r="F20" s="118"/>
      <c r="G20" s="118"/>
      <c r="H20" s="118"/>
      <c r="I20" s="118"/>
      <c r="J20" s="118"/>
      <c r="K20" s="119"/>
    </row>
    <row r="21" spans="1:76" x14ac:dyDescent="0.25">
      <c r="A21" s="61"/>
      <c r="B21" s="62"/>
      <c r="C21" s="63" t="s">
        <v>79</v>
      </c>
      <c r="D21" s="64" t="s">
        <v>80</v>
      </c>
      <c r="E21" s="62"/>
      <c r="F21" s="65">
        <v>5.8815</v>
      </c>
      <c r="G21" s="62"/>
      <c r="H21" s="62"/>
      <c r="I21" s="62"/>
      <c r="J21" s="62"/>
      <c r="K21" s="66"/>
    </row>
    <row r="22" spans="1:76" x14ac:dyDescent="0.25">
      <c r="A22" s="67" t="s">
        <v>50</v>
      </c>
      <c r="B22" s="71" t="s">
        <v>81</v>
      </c>
      <c r="C22" s="139" t="s">
        <v>82</v>
      </c>
      <c r="D22" s="140"/>
      <c r="E22" s="68" t="s">
        <v>4</v>
      </c>
      <c r="F22" s="68" t="s">
        <v>4</v>
      </c>
      <c r="G22" s="68" t="s">
        <v>4</v>
      </c>
      <c r="H22" s="72">
        <f>SUM(H23:H31)</f>
        <v>0</v>
      </c>
      <c r="I22" s="72">
        <f>SUM(I23:I31)</f>
        <v>0</v>
      </c>
      <c r="J22" s="72">
        <f>SUM(J23:J31)</f>
        <v>0</v>
      </c>
      <c r="K22" s="73" t="s">
        <v>50</v>
      </c>
      <c r="AI22" s="30" t="s">
        <v>54</v>
      </c>
      <c r="AS22" s="24">
        <f>SUM(AJ23:AJ31)</f>
        <v>0</v>
      </c>
      <c r="AT22" s="24">
        <f>SUM(AK23:AK31)</f>
        <v>0</v>
      </c>
      <c r="AU22" s="24">
        <f>SUM(AL23:AL31)</f>
        <v>0</v>
      </c>
    </row>
    <row r="23" spans="1:76" ht="25.5" x14ac:dyDescent="0.25">
      <c r="A23" s="67" t="s">
        <v>83</v>
      </c>
      <c r="B23" s="68" t="s">
        <v>84</v>
      </c>
      <c r="C23" s="135" t="s">
        <v>85</v>
      </c>
      <c r="D23" s="136"/>
      <c r="E23" s="68" t="s">
        <v>77</v>
      </c>
      <c r="F23" s="69">
        <v>81.734250000000003</v>
      </c>
      <c r="G23" s="69">
        <v>0</v>
      </c>
      <c r="H23" s="69">
        <f>F23*AO23</f>
        <v>0</v>
      </c>
      <c r="I23" s="69">
        <f>F23*AP23</f>
        <v>0</v>
      </c>
      <c r="J23" s="69">
        <f>F23*G23</f>
        <v>0</v>
      </c>
      <c r="K23" s="70" t="s">
        <v>69</v>
      </c>
      <c r="Z23" s="47">
        <f>IF(AQ23="5",BJ23,0)</f>
        <v>0</v>
      </c>
      <c r="AB23" s="47">
        <f>IF(AQ23="1",BH23,0)</f>
        <v>0</v>
      </c>
      <c r="AC23" s="47">
        <f>IF(AQ23="1",BI23,0)</f>
        <v>0</v>
      </c>
      <c r="AD23" s="47">
        <f>IF(AQ23="7",BH23,0)</f>
        <v>0</v>
      </c>
      <c r="AE23" s="47">
        <f>IF(AQ23="7",BI23,0)</f>
        <v>0</v>
      </c>
      <c r="AF23" s="47">
        <f>IF(AQ23="2",BH23,0)</f>
        <v>0</v>
      </c>
      <c r="AG23" s="47">
        <f>IF(AQ23="2",BI23,0)</f>
        <v>0</v>
      </c>
      <c r="AH23" s="47">
        <f>IF(AQ23="0",BJ23,0)</f>
        <v>0</v>
      </c>
      <c r="AI23" s="30" t="s">
        <v>54</v>
      </c>
      <c r="AJ23" s="47">
        <f>IF(AN23=0,J23,0)</f>
        <v>0</v>
      </c>
      <c r="AK23" s="47">
        <f>IF(AN23=12,J23,0)</f>
        <v>0</v>
      </c>
      <c r="AL23" s="47">
        <f>IF(AN23=21,J23,0)</f>
        <v>0</v>
      </c>
      <c r="AN23" s="47">
        <v>21</v>
      </c>
      <c r="AO23" s="47">
        <f>G23*0.395485188</f>
        <v>0</v>
      </c>
      <c r="AP23" s="47">
        <f>G23*(1-0.395485188)</f>
        <v>0</v>
      </c>
      <c r="AQ23" s="49" t="s">
        <v>55</v>
      </c>
      <c r="AV23" s="47">
        <f>AW23+AX23</f>
        <v>0</v>
      </c>
      <c r="AW23" s="47">
        <f>F23*AO23</f>
        <v>0</v>
      </c>
      <c r="AX23" s="47">
        <f>F23*AP23</f>
        <v>0</v>
      </c>
      <c r="AY23" s="49" t="s">
        <v>86</v>
      </c>
      <c r="AZ23" s="49" t="s">
        <v>71</v>
      </c>
      <c r="BA23" s="30" t="s">
        <v>63</v>
      </c>
      <c r="BC23" s="47">
        <f>AW23+AX23</f>
        <v>0</v>
      </c>
      <c r="BD23" s="47">
        <f>G23/(100-BE23)*100</f>
        <v>0</v>
      </c>
      <c r="BE23" s="47">
        <v>0</v>
      </c>
      <c r="BF23" s="47">
        <f>23</f>
        <v>23</v>
      </c>
      <c r="BH23" s="47">
        <f>F23*AO23</f>
        <v>0</v>
      </c>
      <c r="BI23" s="47">
        <f>F23*AP23</f>
        <v>0</v>
      </c>
      <c r="BJ23" s="47">
        <f>F23*G23</f>
        <v>0</v>
      </c>
      <c r="BK23" s="47"/>
      <c r="BL23" s="47">
        <v>34</v>
      </c>
      <c r="BW23" s="47">
        <v>21</v>
      </c>
      <c r="BX23" s="50" t="s">
        <v>85</v>
      </c>
    </row>
    <row r="24" spans="1:76" ht="27" customHeight="1" x14ac:dyDescent="0.25">
      <c r="A24" s="60"/>
      <c r="C24" s="117" t="s">
        <v>87</v>
      </c>
      <c r="D24" s="118"/>
      <c r="E24" s="118"/>
      <c r="F24" s="118"/>
      <c r="G24" s="118"/>
      <c r="H24" s="118"/>
      <c r="I24" s="118"/>
      <c r="J24" s="118"/>
      <c r="K24" s="119"/>
    </row>
    <row r="25" spans="1:76" x14ac:dyDescent="0.25">
      <c r="A25" s="61"/>
      <c r="B25" s="62"/>
      <c r="C25" s="63" t="s">
        <v>88</v>
      </c>
      <c r="D25" s="64" t="s">
        <v>89</v>
      </c>
      <c r="E25" s="62"/>
      <c r="F25" s="65">
        <v>81.734250000000003</v>
      </c>
      <c r="G25" s="62"/>
      <c r="H25" s="62"/>
      <c r="I25" s="62"/>
      <c r="J25" s="62"/>
      <c r="K25" s="66"/>
    </row>
    <row r="26" spans="1:76" ht="25.5" x14ac:dyDescent="0.25">
      <c r="A26" s="60"/>
      <c r="B26" s="74" t="s">
        <v>90</v>
      </c>
      <c r="C26" s="117" t="s">
        <v>91</v>
      </c>
      <c r="D26" s="118"/>
      <c r="E26" s="118"/>
      <c r="F26" s="118"/>
      <c r="G26" s="118"/>
      <c r="H26" s="118"/>
      <c r="I26" s="118"/>
      <c r="J26" s="118"/>
      <c r="K26" s="119"/>
      <c r="BX26" s="75" t="s">
        <v>91</v>
      </c>
    </row>
    <row r="27" spans="1:76" x14ac:dyDescent="0.25">
      <c r="A27" s="76" t="s">
        <v>92</v>
      </c>
      <c r="B27" s="77" t="s">
        <v>93</v>
      </c>
      <c r="C27" s="145" t="s">
        <v>94</v>
      </c>
      <c r="D27" s="146"/>
      <c r="E27" s="77" t="s">
        <v>77</v>
      </c>
      <c r="F27" s="78">
        <v>85.820959999999999</v>
      </c>
      <c r="G27" s="78">
        <v>0</v>
      </c>
      <c r="H27" s="78">
        <f>F27*AO27</f>
        <v>0</v>
      </c>
      <c r="I27" s="78">
        <f>F27*AP27</f>
        <v>0</v>
      </c>
      <c r="J27" s="78">
        <f>F27*G27</f>
        <v>0</v>
      </c>
      <c r="K27" s="79" t="s">
        <v>95</v>
      </c>
      <c r="Z27" s="47">
        <f>IF(AQ27="5",BJ27,0)</f>
        <v>0</v>
      </c>
      <c r="AB27" s="47">
        <f>IF(AQ27="1",BH27,0)</f>
        <v>0</v>
      </c>
      <c r="AC27" s="47">
        <f>IF(AQ27="1",BI27,0)</f>
        <v>0</v>
      </c>
      <c r="AD27" s="47">
        <f>IF(AQ27="7",BH27,0)</f>
        <v>0</v>
      </c>
      <c r="AE27" s="47">
        <f>IF(AQ27="7",BI27,0)</f>
        <v>0</v>
      </c>
      <c r="AF27" s="47">
        <f>IF(AQ27="2",BH27,0)</f>
        <v>0</v>
      </c>
      <c r="AG27" s="47">
        <f>IF(AQ27="2",BI27,0)</f>
        <v>0</v>
      </c>
      <c r="AH27" s="47">
        <f>IF(AQ27="0",BJ27,0)</f>
        <v>0</v>
      </c>
      <c r="AI27" s="30" t="s">
        <v>54</v>
      </c>
      <c r="AJ27" s="80">
        <f>IF(AN27=0,J27,0)</f>
        <v>0</v>
      </c>
      <c r="AK27" s="80">
        <f>IF(AN27=12,J27,0)</f>
        <v>0</v>
      </c>
      <c r="AL27" s="80">
        <f>IF(AN27=21,J27,0)</f>
        <v>0</v>
      </c>
      <c r="AN27" s="47">
        <v>21</v>
      </c>
      <c r="AO27" s="47">
        <f>G27*1</f>
        <v>0</v>
      </c>
      <c r="AP27" s="47">
        <f>G27*(1-1)</f>
        <v>0</v>
      </c>
      <c r="AQ27" s="81" t="s">
        <v>55</v>
      </c>
      <c r="AV27" s="47">
        <f>AW27+AX27</f>
        <v>0</v>
      </c>
      <c r="AW27" s="47">
        <f>F27*AO27</f>
        <v>0</v>
      </c>
      <c r="AX27" s="47">
        <f>F27*AP27</f>
        <v>0</v>
      </c>
      <c r="AY27" s="49" t="s">
        <v>86</v>
      </c>
      <c r="AZ27" s="49" t="s">
        <v>71</v>
      </c>
      <c r="BA27" s="30" t="s">
        <v>63</v>
      </c>
      <c r="BC27" s="47">
        <f>AW27+AX27</f>
        <v>0</v>
      </c>
      <c r="BD27" s="47">
        <f>G27/(100-BE27)*100</f>
        <v>0</v>
      </c>
      <c r="BE27" s="47">
        <v>0</v>
      </c>
      <c r="BF27" s="47">
        <f>27</f>
        <v>27</v>
      </c>
      <c r="BH27" s="80">
        <f>F27*AO27</f>
        <v>0</v>
      </c>
      <c r="BI27" s="80">
        <f>F27*AP27</f>
        <v>0</v>
      </c>
      <c r="BJ27" s="80">
        <f>F27*G27</f>
        <v>0</v>
      </c>
      <c r="BK27" s="80"/>
      <c r="BL27" s="47">
        <v>34</v>
      </c>
      <c r="BW27" s="47">
        <v>21</v>
      </c>
      <c r="BX27" s="82" t="s">
        <v>94</v>
      </c>
    </row>
    <row r="28" spans="1:76" x14ac:dyDescent="0.25">
      <c r="A28" s="83"/>
      <c r="B28" s="84"/>
      <c r="C28" s="85" t="s">
        <v>88</v>
      </c>
      <c r="D28" s="86" t="s">
        <v>89</v>
      </c>
      <c r="E28" s="84"/>
      <c r="F28" s="87">
        <v>81.734250000000003</v>
      </c>
      <c r="G28" s="84"/>
      <c r="H28" s="84"/>
      <c r="I28" s="84"/>
      <c r="J28" s="84"/>
      <c r="K28" s="88"/>
    </row>
    <row r="29" spans="1:76" x14ac:dyDescent="0.25">
      <c r="A29" s="83"/>
      <c r="B29" s="84"/>
      <c r="C29" s="85" t="s">
        <v>96</v>
      </c>
      <c r="D29" s="86" t="s">
        <v>50</v>
      </c>
      <c r="E29" s="84"/>
      <c r="F29" s="87">
        <v>4.0867100000000001</v>
      </c>
      <c r="G29" s="84"/>
      <c r="H29" s="84"/>
      <c r="I29" s="84"/>
      <c r="J29" s="84"/>
      <c r="K29" s="88"/>
    </row>
    <row r="30" spans="1:76" ht="102" x14ac:dyDescent="0.25">
      <c r="A30" s="60"/>
      <c r="B30" s="74" t="s">
        <v>90</v>
      </c>
      <c r="C30" s="117" t="s">
        <v>97</v>
      </c>
      <c r="D30" s="118"/>
      <c r="E30" s="118"/>
      <c r="F30" s="118"/>
      <c r="G30" s="118"/>
      <c r="H30" s="118"/>
      <c r="I30" s="118"/>
      <c r="J30" s="118"/>
      <c r="K30" s="119"/>
      <c r="BX30" s="89" t="s">
        <v>97</v>
      </c>
    </row>
    <row r="31" spans="1:76" x14ac:dyDescent="0.25">
      <c r="A31" s="56" t="s">
        <v>98</v>
      </c>
      <c r="B31" s="57" t="s">
        <v>99</v>
      </c>
      <c r="C31" s="133" t="s">
        <v>100</v>
      </c>
      <c r="D31" s="134"/>
      <c r="E31" s="57" t="s">
        <v>101</v>
      </c>
      <c r="F31" s="58">
        <v>5.14</v>
      </c>
      <c r="G31" s="58">
        <v>0</v>
      </c>
      <c r="H31" s="58">
        <f>F31*AO31</f>
        <v>0</v>
      </c>
      <c r="I31" s="58">
        <f>F31*AP31</f>
        <v>0</v>
      </c>
      <c r="J31" s="58">
        <f>F31*G31</f>
        <v>0</v>
      </c>
      <c r="K31" s="59" t="s">
        <v>69</v>
      </c>
      <c r="Z31" s="47">
        <f>IF(AQ31="5",BJ31,0)</f>
        <v>0</v>
      </c>
      <c r="AB31" s="47">
        <f>IF(AQ31="1",BH31,0)</f>
        <v>0</v>
      </c>
      <c r="AC31" s="47">
        <f>IF(AQ31="1",BI31,0)</f>
        <v>0</v>
      </c>
      <c r="AD31" s="47">
        <f>IF(AQ31="7",BH31,0)</f>
        <v>0</v>
      </c>
      <c r="AE31" s="47">
        <f>IF(AQ31="7",BI31,0)</f>
        <v>0</v>
      </c>
      <c r="AF31" s="47">
        <f>IF(AQ31="2",BH31,0)</f>
        <v>0</v>
      </c>
      <c r="AG31" s="47">
        <f>IF(AQ31="2",BI31,0)</f>
        <v>0</v>
      </c>
      <c r="AH31" s="47">
        <f>IF(AQ31="0",BJ31,0)</f>
        <v>0</v>
      </c>
      <c r="AI31" s="30" t="s">
        <v>54</v>
      </c>
      <c r="AJ31" s="47">
        <f>IF(AN31=0,J31,0)</f>
        <v>0</v>
      </c>
      <c r="AK31" s="47">
        <f>IF(AN31=12,J31,0)</f>
        <v>0</v>
      </c>
      <c r="AL31" s="47">
        <f>IF(AN31=21,J31,0)</f>
        <v>0</v>
      </c>
      <c r="AN31" s="47">
        <v>21</v>
      </c>
      <c r="AO31" s="47">
        <f>G31*0.293809524</f>
        <v>0</v>
      </c>
      <c r="AP31" s="47">
        <f>G31*(1-0.293809524)</f>
        <v>0</v>
      </c>
      <c r="AQ31" s="49" t="s">
        <v>55</v>
      </c>
      <c r="AV31" s="47">
        <f>AW31+AX31</f>
        <v>0</v>
      </c>
      <c r="AW31" s="47">
        <f>F31*AO31</f>
        <v>0</v>
      </c>
      <c r="AX31" s="47">
        <f>F31*AP31</f>
        <v>0</v>
      </c>
      <c r="AY31" s="49" t="s">
        <v>86</v>
      </c>
      <c r="AZ31" s="49" t="s">
        <v>71</v>
      </c>
      <c r="BA31" s="30" t="s">
        <v>63</v>
      </c>
      <c r="BC31" s="47">
        <f>AW31+AX31</f>
        <v>0</v>
      </c>
      <c r="BD31" s="47">
        <f>G31/(100-BE31)*100</f>
        <v>0</v>
      </c>
      <c r="BE31" s="47">
        <v>0</v>
      </c>
      <c r="BF31" s="47">
        <f>31</f>
        <v>31</v>
      </c>
      <c r="BH31" s="47">
        <f>F31*AO31</f>
        <v>0</v>
      </c>
      <c r="BI31" s="47">
        <f>F31*AP31</f>
        <v>0</v>
      </c>
      <c r="BJ31" s="47">
        <f>F31*G31</f>
        <v>0</v>
      </c>
      <c r="BK31" s="47"/>
      <c r="BL31" s="47">
        <v>34</v>
      </c>
      <c r="BW31" s="47">
        <v>21</v>
      </c>
      <c r="BX31" s="50" t="s">
        <v>100</v>
      </c>
    </row>
    <row r="32" spans="1:76" ht="26.45" customHeight="1" x14ac:dyDescent="0.25">
      <c r="A32" s="60"/>
      <c r="C32" s="117" t="s">
        <v>102</v>
      </c>
      <c r="D32" s="118"/>
      <c r="E32" s="118"/>
      <c r="F32" s="118"/>
      <c r="G32" s="118"/>
      <c r="H32" s="118"/>
      <c r="I32" s="118"/>
      <c r="J32" s="118"/>
      <c r="K32" s="119"/>
    </row>
    <row r="33" spans="1:76" x14ac:dyDescent="0.25">
      <c r="A33" s="61"/>
      <c r="B33" s="62"/>
      <c r="C33" s="63" t="s">
        <v>103</v>
      </c>
      <c r="D33" s="64" t="s">
        <v>80</v>
      </c>
      <c r="E33" s="62"/>
      <c r="F33" s="65">
        <v>5.14</v>
      </c>
      <c r="G33" s="62"/>
      <c r="H33" s="62"/>
      <c r="I33" s="62"/>
      <c r="J33" s="62"/>
      <c r="K33" s="66"/>
    </row>
    <row r="34" spans="1:76" x14ac:dyDescent="0.25">
      <c r="A34" s="67" t="s">
        <v>50</v>
      </c>
      <c r="B34" s="71" t="s">
        <v>104</v>
      </c>
      <c r="C34" s="139" t="s">
        <v>105</v>
      </c>
      <c r="D34" s="140"/>
      <c r="E34" s="68" t="s">
        <v>4</v>
      </c>
      <c r="F34" s="68" t="s">
        <v>4</v>
      </c>
      <c r="G34" s="68" t="s">
        <v>4</v>
      </c>
      <c r="H34" s="72">
        <f>SUM(H35:H43)</f>
        <v>0</v>
      </c>
      <c r="I34" s="72">
        <f>SUM(I35:I43)</f>
        <v>0</v>
      </c>
      <c r="J34" s="72">
        <f>SUM(J35:J43)</f>
        <v>0</v>
      </c>
      <c r="K34" s="73" t="s">
        <v>50</v>
      </c>
      <c r="AI34" s="30" t="s">
        <v>54</v>
      </c>
      <c r="AS34" s="24">
        <f>SUM(AJ35:AJ43)</f>
        <v>0</v>
      </c>
      <c r="AT34" s="24">
        <f>SUM(AK35:AK43)</f>
        <v>0</v>
      </c>
      <c r="AU34" s="24">
        <f>SUM(AL35:AL43)</f>
        <v>0</v>
      </c>
    </row>
    <row r="35" spans="1:76" x14ac:dyDescent="0.25">
      <c r="A35" s="67" t="s">
        <v>106</v>
      </c>
      <c r="B35" s="68" t="s">
        <v>107</v>
      </c>
      <c r="C35" s="135" t="s">
        <v>108</v>
      </c>
      <c r="D35" s="136"/>
      <c r="E35" s="68" t="s">
        <v>77</v>
      </c>
      <c r="F35" s="69">
        <v>195.54</v>
      </c>
      <c r="G35" s="69">
        <v>0</v>
      </c>
      <c r="H35" s="69">
        <f>F35*AO35</f>
        <v>0</v>
      </c>
      <c r="I35" s="69">
        <f>F35*AP35</f>
        <v>0</v>
      </c>
      <c r="J35" s="69">
        <f>F35*G35</f>
        <v>0</v>
      </c>
      <c r="K35" s="70" t="s">
        <v>69</v>
      </c>
      <c r="Z35" s="47">
        <f>IF(AQ35="5",BJ35,0)</f>
        <v>0</v>
      </c>
      <c r="AB35" s="47">
        <f>IF(AQ35="1",BH35,0)</f>
        <v>0</v>
      </c>
      <c r="AC35" s="47">
        <f>IF(AQ35="1",BI35,0)</f>
        <v>0</v>
      </c>
      <c r="AD35" s="47">
        <f>IF(AQ35="7",BH35,0)</f>
        <v>0</v>
      </c>
      <c r="AE35" s="47">
        <f>IF(AQ35="7",BI35,0)</f>
        <v>0</v>
      </c>
      <c r="AF35" s="47">
        <f>IF(AQ35="2",BH35,0)</f>
        <v>0</v>
      </c>
      <c r="AG35" s="47">
        <f>IF(AQ35="2",BI35,0)</f>
        <v>0</v>
      </c>
      <c r="AH35" s="47">
        <f>IF(AQ35="0",BJ35,0)</f>
        <v>0</v>
      </c>
      <c r="AI35" s="30" t="s">
        <v>54</v>
      </c>
      <c r="AJ35" s="47">
        <f>IF(AN35=0,J35,0)</f>
        <v>0</v>
      </c>
      <c r="AK35" s="47">
        <f>IF(AN35=12,J35,0)</f>
        <v>0</v>
      </c>
      <c r="AL35" s="47">
        <f>IF(AN35=21,J35,0)</f>
        <v>0</v>
      </c>
      <c r="AN35" s="47">
        <v>21</v>
      </c>
      <c r="AO35" s="47">
        <f>G35*0.427451382</f>
        <v>0</v>
      </c>
      <c r="AP35" s="47">
        <f>G35*(1-0.427451382)</f>
        <v>0</v>
      </c>
      <c r="AQ35" s="49" t="s">
        <v>55</v>
      </c>
      <c r="AV35" s="47">
        <f>AW35+AX35</f>
        <v>0</v>
      </c>
      <c r="AW35" s="47">
        <f>F35*AO35</f>
        <v>0</v>
      </c>
      <c r="AX35" s="47">
        <f>F35*AP35</f>
        <v>0</v>
      </c>
      <c r="AY35" s="49" t="s">
        <v>109</v>
      </c>
      <c r="AZ35" s="49" t="s">
        <v>110</v>
      </c>
      <c r="BA35" s="30" t="s">
        <v>63</v>
      </c>
      <c r="BC35" s="47">
        <f>AW35+AX35</f>
        <v>0</v>
      </c>
      <c r="BD35" s="47">
        <f>G35/(100-BE35)*100</f>
        <v>0</v>
      </c>
      <c r="BE35" s="47">
        <v>0</v>
      </c>
      <c r="BF35" s="47">
        <f>35</f>
        <v>35</v>
      </c>
      <c r="BH35" s="47">
        <f>F35*AO35</f>
        <v>0</v>
      </c>
      <c r="BI35" s="47">
        <f>F35*AP35</f>
        <v>0</v>
      </c>
      <c r="BJ35" s="47">
        <f>F35*G35</f>
        <v>0</v>
      </c>
      <c r="BK35" s="47"/>
      <c r="BL35" s="47">
        <v>41</v>
      </c>
      <c r="BW35" s="47">
        <v>21</v>
      </c>
      <c r="BX35" s="50" t="s">
        <v>108</v>
      </c>
    </row>
    <row r="36" spans="1:76" ht="27" customHeight="1" x14ac:dyDescent="0.25">
      <c r="A36" s="60"/>
      <c r="C36" s="117" t="s">
        <v>111</v>
      </c>
      <c r="D36" s="118"/>
      <c r="E36" s="118"/>
      <c r="F36" s="118"/>
      <c r="G36" s="118"/>
      <c r="H36" s="118"/>
      <c r="I36" s="118"/>
      <c r="J36" s="118"/>
      <c r="K36" s="119"/>
    </row>
    <row r="37" spans="1:76" x14ac:dyDescent="0.25">
      <c r="A37" s="61"/>
      <c r="B37" s="62"/>
      <c r="C37" s="63" t="s">
        <v>112</v>
      </c>
      <c r="D37" s="64" t="s">
        <v>113</v>
      </c>
      <c r="E37" s="62"/>
      <c r="F37" s="65">
        <v>195.54</v>
      </c>
      <c r="G37" s="62"/>
      <c r="H37" s="62"/>
      <c r="I37" s="62"/>
      <c r="J37" s="62"/>
      <c r="K37" s="66"/>
    </row>
    <row r="38" spans="1:76" ht="38.25" x14ac:dyDescent="0.25">
      <c r="A38" s="60"/>
      <c r="B38" s="74" t="s">
        <v>90</v>
      </c>
      <c r="C38" s="117" t="s">
        <v>114</v>
      </c>
      <c r="D38" s="118"/>
      <c r="E38" s="118"/>
      <c r="F38" s="118"/>
      <c r="G38" s="118"/>
      <c r="H38" s="118"/>
      <c r="I38" s="118"/>
      <c r="J38" s="118"/>
      <c r="K38" s="119"/>
      <c r="BX38" s="75" t="s">
        <v>114</v>
      </c>
    </row>
    <row r="39" spans="1:76" x14ac:dyDescent="0.25">
      <c r="A39" s="56" t="s">
        <v>115</v>
      </c>
      <c r="B39" s="57" t="s">
        <v>116</v>
      </c>
      <c r="C39" s="133" t="s">
        <v>117</v>
      </c>
      <c r="D39" s="134"/>
      <c r="E39" s="57" t="s">
        <v>77</v>
      </c>
      <c r="F39" s="58">
        <v>161.28</v>
      </c>
      <c r="G39" s="58">
        <v>0</v>
      </c>
      <c r="H39" s="58">
        <f>F39*AO39</f>
        <v>0</v>
      </c>
      <c r="I39" s="58">
        <f>F39*AP39</f>
        <v>0</v>
      </c>
      <c r="J39" s="58">
        <f>F39*G39</f>
        <v>0</v>
      </c>
      <c r="K39" s="59" t="s">
        <v>69</v>
      </c>
      <c r="Z39" s="47">
        <f>IF(AQ39="5",BJ39,0)</f>
        <v>0</v>
      </c>
      <c r="AB39" s="47">
        <f>IF(AQ39="1",BH39,0)</f>
        <v>0</v>
      </c>
      <c r="AC39" s="47">
        <f>IF(AQ39="1",BI39,0)</f>
        <v>0</v>
      </c>
      <c r="AD39" s="47">
        <f>IF(AQ39="7",BH39,0)</f>
        <v>0</v>
      </c>
      <c r="AE39" s="47">
        <f>IF(AQ39="7",BI39,0)</f>
        <v>0</v>
      </c>
      <c r="AF39" s="47">
        <f>IF(AQ39="2",BH39,0)</f>
        <v>0</v>
      </c>
      <c r="AG39" s="47">
        <f>IF(AQ39="2",BI39,0)</f>
        <v>0</v>
      </c>
      <c r="AH39" s="47">
        <f>IF(AQ39="0",BJ39,0)</f>
        <v>0</v>
      </c>
      <c r="AI39" s="30" t="s">
        <v>54</v>
      </c>
      <c r="AJ39" s="47">
        <f>IF(AN39=0,J39,0)</f>
        <v>0</v>
      </c>
      <c r="AK39" s="47">
        <f>IF(AN39=12,J39,0)</f>
        <v>0</v>
      </c>
      <c r="AL39" s="47">
        <f>IF(AN39=21,J39,0)</f>
        <v>0</v>
      </c>
      <c r="AN39" s="47">
        <v>21</v>
      </c>
      <c r="AO39" s="47">
        <f>G39*0.669481132</f>
        <v>0</v>
      </c>
      <c r="AP39" s="47">
        <f>G39*(1-0.669481132)</f>
        <v>0</v>
      </c>
      <c r="AQ39" s="49" t="s">
        <v>55</v>
      </c>
      <c r="AV39" s="47">
        <f>AW39+AX39</f>
        <v>0</v>
      </c>
      <c r="AW39" s="47">
        <f>F39*AO39</f>
        <v>0</v>
      </c>
      <c r="AX39" s="47">
        <f>F39*AP39</f>
        <v>0</v>
      </c>
      <c r="AY39" s="49" t="s">
        <v>109</v>
      </c>
      <c r="AZ39" s="49" t="s">
        <v>110</v>
      </c>
      <c r="BA39" s="30" t="s">
        <v>63</v>
      </c>
      <c r="BC39" s="47">
        <f>AW39+AX39</f>
        <v>0</v>
      </c>
      <c r="BD39" s="47">
        <f>G39/(100-BE39)*100</f>
        <v>0</v>
      </c>
      <c r="BE39" s="47">
        <v>0</v>
      </c>
      <c r="BF39" s="47">
        <f>39</f>
        <v>39</v>
      </c>
      <c r="BH39" s="47">
        <f>F39*AO39</f>
        <v>0</v>
      </c>
      <c r="BI39" s="47">
        <f>F39*AP39</f>
        <v>0</v>
      </c>
      <c r="BJ39" s="47">
        <f>F39*G39</f>
        <v>0</v>
      </c>
      <c r="BK39" s="47"/>
      <c r="BL39" s="47">
        <v>41</v>
      </c>
      <c r="BW39" s="47">
        <v>21</v>
      </c>
      <c r="BX39" s="50" t="s">
        <v>117</v>
      </c>
    </row>
    <row r="40" spans="1:76" ht="40.5" customHeight="1" x14ac:dyDescent="0.25">
      <c r="A40" s="60"/>
      <c r="C40" s="117" t="s">
        <v>118</v>
      </c>
      <c r="D40" s="118"/>
      <c r="E40" s="118"/>
      <c r="F40" s="118"/>
      <c r="G40" s="118"/>
      <c r="H40" s="118"/>
      <c r="I40" s="118"/>
      <c r="J40" s="118"/>
      <c r="K40" s="119"/>
    </row>
    <row r="41" spans="1:76" x14ac:dyDescent="0.25">
      <c r="A41" s="61"/>
      <c r="B41" s="62"/>
      <c r="C41" s="63" t="s">
        <v>119</v>
      </c>
      <c r="D41" s="64" t="s">
        <v>120</v>
      </c>
      <c r="E41" s="62"/>
      <c r="F41" s="65">
        <v>161.28</v>
      </c>
      <c r="G41" s="62"/>
      <c r="H41" s="62"/>
      <c r="I41" s="62"/>
      <c r="J41" s="62"/>
      <c r="K41" s="66"/>
    </row>
    <row r="42" spans="1:76" ht="38.25" x14ac:dyDescent="0.25">
      <c r="A42" s="60"/>
      <c r="B42" s="74" t="s">
        <v>90</v>
      </c>
      <c r="C42" s="117" t="s">
        <v>121</v>
      </c>
      <c r="D42" s="118"/>
      <c r="E42" s="118"/>
      <c r="F42" s="118"/>
      <c r="G42" s="118"/>
      <c r="H42" s="118"/>
      <c r="I42" s="118"/>
      <c r="J42" s="118"/>
      <c r="K42" s="119"/>
      <c r="BX42" s="75" t="s">
        <v>121</v>
      </c>
    </row>
    <row r="43" spans="1:76" x14ac:dyDescent="0.25">
      <c r="A43" s="56" t="s">
        <v>122</v>
      </c>
      <c r="B43" s="57" t="s">
        <v>123</v>
      </c>
      <c r="C43" s="133" t="s">
        <v>124</v>
      </c>
      <c r="D43" s="134"/>
      <c r="E43" s="57" t="s">
        <v>77</v>
      </c>
      <c r="F43" s="58">
        <v>34.26</v>
      </c>
      <c r="G43" s="58">
        <v>0</v>
      </c>
      <c r="H43" s="58">
        <f>F43*AO43</f>
        <v>0</v>
      </c>
      <c r="I43" s="58">
        <f>F43*AP43</f>
        <v>0</v>
      </c>
      <c r="J43" s="58">
        <f>F43*G43</f>
        <v>0</v>
      </c>
      <c r="K43" s="59" t="s">
        <v>95</v>
      </c>
      <c r="Z43" s="47">
        <f>IF(AQ43="5",BJ43,0)</f>
        <v>0</v>
      </c>
      <c r="AB43" s="47">
        <f>IF(AQ43="1",BH43,0)</f>
        <v>0</v>
      </c>
      <c r="AC43" s="47">
        <f>IF(AQ43="1",BI43,0)</f>
        <v>0</v>
      </c>
      <c r="AD43" s="47">
        <f>IF(AQ43="7",BH43,0)</f>
        <v>0</v>
      </c>
      <c r="AE43" s="47">
        <f>IF(AQ43="7",BI43,0)</f>
        <v>0</v>
      </c>
      <c r="AF43" s="47">
        <f>IF(AQ43="2",BH43,0)</f>
        <v>0</v>
      </c>
      <c r="AG43" s="47">
        <f>IF(AQ43="2",BI43,0)</f>
        <v>0</v>
      </c>
      <c r="AH43" s="47">
        <f>IF(AQ43="0",BJ43,0)</f>
        <v>0</v>
      </c>
      <c r="AI43" s="30" t="s">
        <v>54</v>
      </c>
      <c r="AJ43" s="47">
        <f>IF(AN43=0,J43,0)</f>
        <v>0</v>
      </c>
      <c r="AK43" s="47">
        <f>IF(AN43=12,J43,0)</f>
        <v>0</v>
      </c>
      <c r="AL43" s="47">
        <f>IF(AN43=21,J43,0)</f>
        <v>0</v>
      </c>
      <c r="AN43" s="47">
        <v>21</v>
      </c>
      <c r="AO43" s="47">
        <f>G43*0.442117834</f>
        <v>0</v>
      </c>
      <c r="AP43" s="47">
        <f>G43*(1-0.442117834)</f>
        <v>0</v>
      </c>
      <c r="AQ43" s="49" t="s">
        <v>55</v>
      </c>
      <c r="AV43" s="47">
        <f>AW43+AX43</f>
        <v>0</v>
      </c>
      <c r="AW43" s="47">
        <f>F43*AO43</f>
        <v>0</v>
      </c>
      <c r="AX43" s="47">
        <f>F43*AP43</f>
        <v>0</v>
      </c>
      <c r="AY43" s="49" t="s">
        <v>109</v>
      </c>
      <c r="AZ43" s="49" t="s">
        <v>110</v>
      </c>
      <c r="BA43" s="30" t="s">
        <v>63</v>
      </c>
      <c r="BC43" s="47">
        <f>AW43+AX43</f>
        <v>0</v>
      </c>
      <c r="BD43" s="47">
        <f>G43/(100-BE43)*100</f>
        <v>0</v>
      </c>
      <c r="BE43" s="47">
        <v>0</v>
      </c>
      <c r="BF43" s="47">
        <f>43</f>
        <v>43</v>
      </c>
      <c r="BH43" s="47">
        <f>F43*AO43</f>
        <v>0</v>
      </c>
      <c r="BI43" s="47">
        <f>F43*AP43</f>
        <v>0</v>
      </c>
      <c r="BJ43" s="47">
        <f>F43*G43</f>
        <v>0</v>
      </c>
      <c r="BK43" s="47"/>
      <c r="BL43" s="47">
        <v>41</v>
      </c>
      <c r="BW43" s="47">
        <v>21</v>
      </c>
      <c r="BX43" s="50" t="s">
        <v>124</v>
      </c>
    </row>
    <row r="44" spans="1:76" ht="27" customHeight="1" x14ac:dyDescent="0.25">
      <c r="A44" s="60"/>
      <c r="C44" s="117" t="s">
        <v>125</v>
      </c>
      <c r="D44" s="118"/>
      <c r="E44" s="118"/>
      <c r="F44" s="118"/>
      <c r="G44" s="118"/>
      <c r="H44" s="118"/>
      <c r="I44" s="118"/>
      <c r="J44" s="118"/>
      <c r="K44" s="119"/>
    </row>
    <row r="45" spans="1:76" x14ac:dyDescent="0.25">
      <c r="A45" s="61"/>
      <c r="B45" s="62"/>
      <c r="C45" s="63" t="s">
        <v>126</v>
      </c>
      <c r="D45" s="64" t="s">
        <v>120</v>
      </c>
      <c r="E45" s="62"/>
      <c r="F45" s="65">
        <v>34.26</v>
      </c>
      <c r="G45" s="62"/>
      <c r="H45" s="62"/>
      <c r="I45" s="62"/>
      <c r="J45" s="62"/>
      <c r="K45" s="66"/>
    </row>
    <row r="46" spans="1:76" x14ac:dyDescent="0.25">
      <c r="A46" s="90" t="s">
        <v>50</v>
      </c>
      <c r="B46" s="91" t="s">
        <v>127</v>
      </c>
      <c r="C46" s="137" t="s">
        <v>128</v>
      </c>
      <c r="D46" s="138"/>
      <c r="E46" s="92" t="s">
        <v>4</v>
      </c>
      <c r="F46" s="92" t="s">
        <v>4</v>
      </c>
      <c r="G46" s="92" t="s">
        <v>4</v>
      </c>
      <c r="H46" s="93">
        <f>SUM(H47:H49)</f>
        <v>0</v>
      </c>
      <c r="I46" s="93">
        <f>SUM(I47:I49)</f>
        <v>0</v>
      </c>
      <c r="J46" s="93">
        <f>SUM(J47:J49)</f>
        <v>0</v>
      </c>
      <c r="K46" s="94" t="s">
        <v>50</v>
      </c>
      <c r="AI46" s="30" t="s">
        <v>54</v>
      </c>
      <c r="AS46" s="24">
        <f>SUM(AJ47:AJ49)</f>
        <v>0</v>
      </c>
      <c r="AT46" s="24">
        <f>SUM(AK47:AK49)</f>
        <v>0</v>
      </c>
      <c r="AU46" s="24">
        <f>SUM(AL47:AL49)</f>
        <v>0</v>
      </c>
    </row>
    <row r="47" spans="1:76" x14ac:dyDescent="0.25">
      <c r="A47" s="56" t="s">
        <v>129</v>
      </c>
      <c r="B47" s="57" t="s">
        <v>130</v>
      </c>
      <c r="C47" s="133" t="s">
        <v>131</v>
      </c>
      <c r="D47" s="134"/>
      <c r="E47" s="57" t="s">
        <v>77</v>
      </c>
      <c r="F47" s="58">
        <v>23.526</v>
      </c>
      <c r="G47" s="58">
        <v>0</v>
      </c>
      <c r="H47" s="58">
        <f>F47*AO47</f>
        <v>0</v>
      </c>
      <c r="I47" s="58">
        <f>F47*AP47</f>
        <v>0</v>
      </c>
      <c r="J47" s="58">
        <f>F47*G47</f>
        <v>0</v>
      </c>
      <c r="K47" s="59" t="s">
        <v>69</v>
      </c>
      <c r="Z47" s="47">
        <f>IF(AQ47="5",BJ47,0)</f>
        <v>0</v>
      </c>
      <c r="AB47" s="47">
        <f>IF(AQ47="1",BH47,0)</f>
        <v>0</v>
      </c>
      <c r="AC47" s="47">
        <f>IF(AQ47="1",BI47,0)</f>
        <v>0</v>
      </c>
      <c r="AD47" s="47">
        <f>IF(AQ47="7",BH47,0)</f>
        <v>0</v>
      </c>
      <c r="AE47" s="47">
        <f>IF(AQ47="7",BI47,0)</f>
        <v>0</v>
      </c>
      <c r="AF47" s="47">
        <f>IF(AQ47="2",BH47,0)</f>
        <v>0</v>
      </c>
      <c r="AG47" s="47">
        <f>IF(AQ47="2",BI47,0)</f>
        <v>0</v>
      </c>
      <c r="AH47" s="47">
        <f>IF(AQ47="0",BJ47,0)</f>
        <v>0</v>
      </c>
      <c r="AI47" s="30" t="s">
        <v>54</v>
      </c>
      <c r="AJ47" s="47">
        <f>IF(AN47=0,J47,0)</f>
        <v>0</v>
      </c>
      <c r="AK47" s="47">
        <f>IF(AN47=12,J47,0)</f>
        <v>0</v>
      </c>
      <c r="AL47" s="47">
        <f>IF(AN47=21,J47,0)</f>
        <v>0</v>
      </c>
      <c r="AN47" s="47">
        <v>21</v>
      </c>
      <c r="AO47" s="47">
        <f>G47*0.192818866</f>
        <v>0</v>
      </c>
      <c r="AP47" s="47">
        <f>G47*(1-0.192818866)</f>
        <v>0</v>
      </c>
      <c r="AQ47" s="49" t="s">
        <v>55</v>
      </c>
      <c r="AV47" s="47">
        <f>AW47+AX47</f>
        <v>0</v>
      </c>
      <c r="AW47" s="47">
        <f>F47*AO47</f>
        <v>0</v>
      </c>
      <c r="AX47" s="47">
        <f>F47*AP47</f>
        <v>0</v>
      </c>
      <c r="AY47" s="49" t="s">
        <v>132</v>
      </c>
      <c r="AZ47" s="49" t="s">
        <v>133</v>
      </c>
      <c r="BA47" s="30" t="s">
        <v>63</v>
      </c>
      <c r="BC47" s="47">
        <f>AW47+AX47</f>
        <v>0</v>
      </c>
      <c r="BD47" s="47">
        <f>G47/(100-BE47)*100</f>
        <v>0</v>
      </c>
      <c r="BE47" s="47">
        <v>0</v>
      </c>
      <c r="BF47" s="47">
        <f>47</f>
        <v>47</v>
      </c>
      <c r="BH47" s="47">
        <f>F47*AO47</f>
        <v>0</v>
      </c>
      <c r="BI47" s="47">
        <f>F47*AP47</f>
        <v>0</v>
      </c>
      <c r="BJ47" s="47">
        <f>F47*G47</f>
        <v>0</v>
      </c>
      <c r="BK47" s="47"/>
      <c r="BL47" s="47">
        <v>60</v>
      </c>
      <c r="BW47" s="47">
        <v>21</v>
      </c>
      <c r="BX47" s="50" t="s">
        <v>131</v>
      </c>
    </row>
    <row r="48" spans="1:76" x14ac:dyDescent="0.25">
      <c r="A48" s="83"/>
      <c r="B48" s="84"/>
      <c r="C48" s="85" t="s">
        <v>134</v>
      </c>
      <c r="D48" s="86" t="s">
        <v>135</v>
      </c>
      <c r="E48" s="84"/>
      <c r="F48" s="87">
        <v>23.526</v>
      </c>
      <c r="G48" s="84"/>
      <c r="H48" s="84"/>
      <c r="I48" s="84"/>
      <c r="J48" s="84"/>
      <c r="K48" s="88"/>
    </row>
    <row r="49" spans="1:76" x14ac:dyDescent="0.25">
      <c r="A49" s="67" t="s">
        <v>136</v>
      </c>
      <c r="B49" s="68" t="s">
        <v>137</v>
      </c>
      <c r="C49" s="135" t="s">
        <v>138</v>
      </c>
      <c r="D49" s="136"/>
      <c r="E49" s="68" t="s">
        <v>77</v>
      </c>
      <c r="F49" s="69">
        <v>11.763</v>
      </c>
      <c r="G49" s="69">
        <v>0</v>
      </c>
      <c r="H49" s="69">
        <f>F49*AO49</f>
        <v>0</v>
      </c>
      <c r="I49" s="69">
        <f>F49*AP49</f>
        <v>0</v>
      </c>
      <c r="J49" s="69">
        <f>F49*G49</f>
        <v>0</v>
      </c>
      <c r="K49" s="70" t="s">
        <v>69</v>
      </c>
      <c r="Z49" s="47">
        <f>IF(AQ49="5",BJ49,0)</f>
        <v>0</v>
      </c>
      <c r="AB49" s="47">
        <f>IF(AQ49="1",BH49,0)</f>
        <v>0</v>
      </c>
      <c r="AC49" s="47">
        <f>IF(AQ49="1",BI49,0)</f>
        <v>0</v>
      </c>
      <c r="AD49" s="47">
        <f>IF(AQ49="7",BH49,0)</f>
        <v>0</v>
      </c>
      <c r="AE49" s="47">
        <f>IF(AQ49="7",BI49,0)</f>
        <v>0</v>
      </c>
      <c r="AF49" s="47">
        <f>IF(AQ49="2",BH49,0)</f>
        <v>0</v>
      </c>
      <c r="AG49" s="47">
        <f>IF(AQ49="2",BI49,0)</f>
        <v>0</v>
      </c>
      <c r="AH49" s="47">
        <f>IF(AQ49="0",BJ49,0)</f>
        <v>0</v>
      </c>
      <c r="AI49" s="30" t="s">
        <v>54</v>
      </c>
      <c r="AJ49" s="47">
        <f>IF(AN49=0,J49,0)</f>
        <v>0</v>
      </c>
      <c r="AK49" s="47">
        <f>IF(AN49=12,J49,0)</f>
        <v>0</v>
      </c>
      <c r="AL49" s="47">
        <f>IF(AN49=21,J49,0)</f>
        <v>0</v>
      </c>
      <c r="AN49" s="47">
        <v>21</v>
      </c>
      <c r="AO49" s="47">
        <f>G49*0.266634328</f>
        <v>0</v>
      </c>
      <c r="AP49" s="47">
        <f>G49*(1-0.266634328)</f>
        <v>0</v>
      </c>
      <c r="AQ49" s="49" t="s">
        <v>55</v>
      </c>
      <c r="AV49" s="47">
        <f>AW49+AX49</f>
        <v>0</v>
      </c>
      <c r="AW49" s="47">
        <f>F49*AO49</f>
        <v>0</v>
      </c>
      <c r="AX49" s="47">
        <f>F49*AP49</f>
        <v>0</v>
      </c>
      <c r="AY49" s="49" t="s">
        <v>132</v>
      </c>
      <c r="AZ49" s="49" t="s">
        <v>133</v>
      </c>
      <c r="BA49" s="30" t="s">
        <v>63</v>
      </c>
      <c r="BC49" s="47">
        <f>AW49+AX49</f>
        <v>0</v>
      </c>
      <c r="BD49" s="47">
        <f>G49/(100-BE49)*100</f>
        <v>0</v>
      </c>
      <c r="BE49" s="47">
        <v>0</v>
      </c>
      <c r="BF49" s="47">
        <f>49</f>
        <v>49</v>
      </c>
      <c r="BH49" s="47">
        <f>F49*AO49</f>
        <v>0</v>
      </c>
      <c r="BI49" s="47">
        <f>F49*AP49</f>
        <v>0</v>
      </c>
      <c r="BJ49" s="47">
        <f>F49*G49</f>
        <v>0</v>
      </c>
      <c r="BK49" s="47"/>
      <c r="BL49" s="47">
        <v>60</v>
      </c>
      <c r="BW49" s="47">
        <v>21</v>
      </c>
      <c r="BX49" s="50" t="s">
        <v>138</v>
      </c>
    </row>
    <row r="50" spans="1:76" x14ac:dyDescent="0.25">
      <c r="A50" s="83"/>
      <c r="B50" s="84"/>
      <c r="C50" s="85" t="s">
        <v>139</v>
      </c>
      <c r="D50" s="86" t="s">
        <v>80</v>
      </c>
      <c r="E50" s="84"/>
      <c r="F50" s="87">
        <v>11.763</v>
      </c>
      <c r="G50" s="84"/>
      <c r="H50" s="84"/>
      <c r="I50" s="84"/>
      <c r="J50" s="84"/>
      <c r="K50" s="88"/>
    </row>
    <row r="51" spans="1:76" x14ac:dyDescent="0.25">
      <c r="A51" s="90" t="s">
        <v>50</v>
      </c>
      <c r="B51" s="91" t="s">
        <v>140</v>
      </c>
      <c r="C51" s="137" t="s">
        <v>141</v>
      </c>
      <c r="D51" s="138"/>
      <c r="E51" s="92" t="s">
        <v>4</v>
      </c>
      <c r="F51" s="92" t="s">
        <v>4</v>
      </c>
      <c r="G51" s="92" t="s">
        <v>4</v>
      </c>
      <c r="H51" s="93">
        <f>SUM(H52:H55)</f>
        <v>0</v>
      </c>
      <c r="I51" s="93">
        <f>SUM(I52:I55)</f>
        <v>0</v>
      </c>
      <c r="J51" s="93">
        <f>SUM(J52:J55)</f>
        <v>0</v>
      </c>
      <c r="K51" s="94" t="s">
        <v>50</v>
      </c>
      <c r="AI51" s="30" t="s">
        <v>54</v>
      </c>
      <c r="AS51" s="24">
        <f>SUM(AJ52:AJ55)</f>
        <v>0</v>
      </c>
      <c r="AT51" s="24">
        <f>SUM(AK52:AK55)</f>
        <v>0</v>
      </c>
      <c r="AU51" s="24">
        <f>SUM(AL52:AL55)</f>
        <v>0</v>
      </c>
    </row>
    <row r="52" spans="1:76" x14ac:dyDescent="0.25">
      <c r="A52" s="56" t="s">
        <v>142</v>
      </c>
      <c r="B52" s="57" t="s">
        <v>143</v>
      </c>
      <c r="C52" s="133" t="s">
        <v>144</v>
      </c>
      <c r="D52" s="134"/>
      <c r="E52" s="57" t="s">
        <v>77</v>
      </c>
      <c r="F52" s="58">
        <v>11.763</v>
      </c>
      <c r="G52" s="58">
        <v>0</v>
      </c>
      <c r="H52" s="58">
        <f>F52*AO52</f>
        <v>0</v>
      </c>
      <c r="I52" s="58">
        <f>F52*AP52</f>
        <v>0</v>
      </c>
      <c r="J52" s="58">
        <f>F52*G52</f>
        <v>0</v>
      </c>
      <c r="K52" s="59" t="s">
        <v>69</v>
      </c>
      <c r="Z52" s="47">
        <f>IF(AQ52="5",BJ52,0)</f>
        <v>0</v>
      </c>
      <c r="AB52" s="47">
        <f>IF(AQ52="1",BH52,0)</f>
        <v>0</v>
      </c>
      <c r="AC52" s="47">
        <f>IF(AQ52="1",BI52,0)</f>
        <v>0</v>
      </c>
      <c r="AD52" s="47">
        <f>IF(AQ52="7",BH52,0)</f>
        <v>0</v>
      </c>
      <c r="AE52" s="47">
        <f>IF(AQ52="7",BI52,0)</f>
        <v>0</v>
      </c>
      <c r="AF52" s="47">
        <f>IF(AQ52="2",BH52,0)</f>
        <v>0</v>
      </c>
      <c r="AG52" s="47">
        <f>IF(AQ52="2",BI52,0)</f>
        <v>0</v>
      </c>
      <c r="AH52" s="47">
        <f>IF(AQ52="0",BJ52,0)</f>
        <v>0</v>
      </c>
      <c r="AI52" s="30" t="s">
        <v>54</v>
      </c>
      <c r="AJ52" s="47">
        <f>IF(AN52=0,J52,0)</f>
        <v>0</v>
      </c>
      <c r="AK52" s="47">
        <f>IF(AN52=12,J52,0)</f>
        <v>0</v>
      </c>
      <c r="AL52" s="47">
        <f>IF(AN52=21,J52,0)</f>
        <v>0</v>
      </c>
      <c r="AN52" s="47">
        <v>21</v>
      </c>
      <c r="AO52" s="47">
        <f>G52*0.352411754</f>
        <v>0</v>
      </c>
      <c r="AP52" s="47">
        <f>G52*(1-0.352411754)</f>
        <v>0</v>
      </c>
      <c r="AQ52" s="49" t="s">
        <v>55</v>
      </c>
      <c r="AV52" s="47">
        <f>AW52+AX52</f>
        <v>0</v>
      </c>
      <c r="AW52" s="47">
        <f>F52*AO52</f>
        <v>0</v>
      </c>
      <c r="AX52" s="47">
        <f>F52*AP52</f>
        <v>0</v>
      </c>
      <c r="AY52" s="49" t="s">
        <v>145</v>
      </c>
      <c r="AZ52" s="49" t="s">
        <v>133</v>
      </c>
      <c r="BA52" s="30" t="s">
        <v>63</v>
      </c>
      <c r="BC52" s="47">
        <f>AW52+AX52</f>
        <v>0</v>
      </c>
      <c r="BD52" s="47">
        <f>G52/(100-BE52)*100</f>
        <v>0</v>
      </c>
      <c r="BE52" s="47">
        <v>0</v>
      </c>
      <c r="BF52" s="47">
        <f>52</f>
        <v>52</v>
      </c>
      <c r="BH52" s="47">
        <f>F52*AO52</f>
        <v>0</v>
      </c>
      <c r="BI52" s="47">
        <f>F52*AP52</f>
        <v>0</v>
      </c>
      <c r="BJ52" s="47">
        <f>F52*G52</f>
        <v>0</v>
      </c>
      <c r="BK52" s="47"/>
      <c r="BL52" s="47">
        <v>61</v>
      </c>
      <c r="BW52" s="47">
        <v>21</v>
      </c>
      <c r="BX52" s="50" t="s">
        <v>144</v>
      </c>
    </row>
    <row r="53" spans="1:76" ht="13.5" customHeight="1" x14ac:dyDescent="0.25">
      <c r="A53" s="60"/>
      <c r="C53" s="117" t="s">
        <v>146</v>
      </c>
      <c r="D53" s="118"/>
      <c r="E53" s="118"/>
      <c r="F53" s="118"/>
      <c r="G53" s="118"/>
      <c r="H53" s="118"/>
      <c r="I53" s="118"/>
      <c r="J53" s="118"/>
      <c r="K53" s="119"/>
    </row>
    <row r="54" spans="1:76" x14ac:dyDescent="0.25">
      <c r="A54" s="61"/>
      <c r="B54" s="62"/>
      <c r="C54" s="63" t="s">
        <v>139</v>
      </c>
      <c r="D54" s="64" t="s">
        <v>80</v>
      </c>
      <c r="E54" s="62"/>
      <c r="F54" s="65">
        <v>11.763</v>
      </c>
      <c r="G54" s="62"/>
      <c r="H54" s="62"/>
      <c r="I54" s="62"/>
      <c r="J54" s="62"/>
      <c r="K54" s="66"/>
    </row>
    <row r="55" spans="1:76" x14ac:dyDescent="0.25">
      <c r="A55" s="67" t="s">
        <v>147</v>
      </c>
      <c r="B55" s="68" t="s">
        <v>148</v>
      </c>
      <c r="C55" s="135" t="s">
        <v>149</v>
      </c>
      <c r="D55" s="136"/>
      <c r="E55" s="68" t="s">
        <v>77</v>
      </c>
      <c r="F55" s="69">
        <v>51.462499999999999</v>
      </c>
      <c r="G55" s="69">
        <v>0</v>
      </c>
      <c r="H55" s="69">
        <f>F55*AO55</f>
        <v>0</v>
      </c>
      <c r="I55" s="69">
        <f>F55*AP55</f>
        <v>0</v>
      </c>
      <c r="J55" s="69">
        <f>F55*G55</f>
        <v>0</v>
      </c>
      <c r="K55" s="70" t="s">
        <v>69</v>
      </c>
      <c r="Z55" s="47">
        <f>IF(AQ55="5",BJ55,0)</f>
        <v>0</v>
      </c>
      <c r="AB55" s="47">
        <f>IF(AQ55="1",BH55,0)</f>
        <v>0</v>
      </c>
      <c r="AC55" s="47">
        <f>IF(AQ55="1",BI55,0)</f>
        <v>0</v>
      </c>
      <c r="AD55" s="47">
        <f>IF(AQ55="7",BH55,0)</f>
        <v>0</v>
      </c>
      <c r="AE55" s="47">
        <f>IF(AQ55="7",BI55,0)</f>
        <v>0</v>
      </c>
      <c r="AF55" s="47">
        <f>IF(AQ55="2",BH55,0)</f>
        <v>0</v>
      </c>
      <c r="AG55" s="47">
        <f>IF(AQ55="2",BI55,0)</f>
        <v>0</v>
      </c>
      <c r="AH55" s="47">
        <f>IF(AQ55="0",BJ55,0)</f>
        <v>0</v>
      </c>
      <c r="AI55" s="30" t="s">
        <v>54</v>
      </c>
      <c r="AJ55" s="47">
        <f>IF(AN55=0,J55,0)</f>
        <v>0</v>
      </c>
      <c r="AK55" s="47">
        <f>IF(AN55=12,J55,0)</f>
        <v>0</v>
      </c>
      <c r="AL55" s="47">
        <f>IF(AN55=21,J55,0)</f>
        <v>0</v>
      </c>
      <c r="AN55" s="47">
        <v>21</v>
      </c>
      <c r="AO55" s="47">
        <f>G55*0.334083326</f>
        <v>0</v>
      </c>
      <c r="AP55" s="47">
        <f>G55*(1-0.334083326)</f>
        <v>0</v>
      </c>
      <c r="AQ55" s="49" t="s">
        <v>55</v>
      </c>
      <c r="AV55" s="47">
        <f>AW55+AX55</f>
        <v>0</v>
      </c>
      <c r="AW55" s="47">
        <f>F55*AO55</f>
        <v>0</v>
      </c>
      <c r="AX55" s="47">
        <f>F55*AP55</f>
        <v>0</v>
      </c>
      <c r="AY55" s="49" t="s">
        <v>145</v>
      </c>
      <c r="AZ55" s="49" t="s">
        <v>133</v>
      </c>
      <c r="BA55" s="30" t="s">
        <v>63</v>
      </c>
      <c r="BC55" s="47">
        <f>AW55+AX55</f>
        <v>0</v>
      </c>
      <c r="BD55" s="47">
        <f>G55/(100-BE55)*100</f>
        <v>0</v>
      </c>
      <c r="BE55" s="47">
        <v>0</v>
      </c>
      <c r="BF55" s="47">
        <f>55</f>
        <v>55</v>
      </c>
      <c r="BH55" s="47">
        <f>F55*AO55</f>
        <v>0</v>
      </c>
      <c r="BI55" s="47">
        <f>F55*AP55</f>
        <v>0</v>
      </c>
      <c r="BJ55" s="47">
        <f>F55*G55</f>
        <v>0</v>
      </c>
      <c r="BK55" s="47"/>
      <c r="BL55" s="47">
        <v>61</v>
      </c>
      <c r="BW55" s="47">
        <v>21</v>
      </c>
      <c r="BX55" s="50" t="s">
        <v>149</v>
      </c>
    </row>
    <row r="56" spans="1:76" ht="13.5" customHeight="1" x14ac:dyDescent="0.25">
      <c r="A56" s="60"/>
      <c r="C56" s="117" t="s">
        <v>150</v>
      </c>
      <c r="D56" s="118"/>
      <c r="E56" s="118"/>
      <c r="F56" s="118"/>
      <c r="G56" s="118"/>
      <c r="H56" s="118"/>
      <c r="I56" s="118"/>
      <c r="J56" s="118"/>
      <c r="K56" s="119"/>
    </row>
    <row r="57" spans="1:76" x14ac:dyDescent="0.25">
      <c r="A57" s="61"/>
      <c r="B57" s="62"/>
      <c r="C57" s="63" t="s">
        <v>151</v>
      </c>
      <c r="D57" s="64" t="s">
        <v>152</v>
      </c>
      <c r="E57" s="62"/>
      <c r="F57" s="65">
        <v>51.462499999999999</v>
      </c>
      <c r="G57" s="62"/>
      <c r="H57" s="62"/>
      <c r="I57" s="62"/>
      <c r="J57" s="62"/>
      <c r="K57" s="66"/>
    </row>
    <row r="58" spans="1:76" x14ac:dyDescent="0.25">
      <c r="A58" s="90" t="s">
        <v>50</v>
      </c>
      <c r="B58" s="91" t="s">
        <v>153</v>
      </c>
      <c r="C58" s="137" t="s">
        <v>154</v>
      </c>
      <c r="D58" s="138"/>
      <c r="E58" s="92" t="s">
        <v>4</v>
      </c>
      <c r="F58" s="92" t="s">
        <v>4</v>
      </c>
      <c r="G58" s="92" t="s">
        <v>4</v>
      </c>
      <c r="H58" s="93">
        <f>SUM(H59:H59)</f>
        <v>0</v>
      </c>
      <c r="I58" s="93">
        <f>SUM(I59:I59)</f>
        <v>0</v>
      </c>
      <c r="J58" s="93">
        <f>SUM(J59:J59)</f>
        <v>0</v>
      </c>
      <c r="K58" s="94" t="s">
        <v>50</v>
      </c>
      <c r="AI58" s="30" t="s">
        <v>54</v>
      </c>
      <c r="AS58" s="24">
        <f>SUM(AJ59:AJ59)</f>
        <v>0</v>
      </c>
      <c r="AT58" s="24">
        <f>SUM(AK59:AK59)</f>
        <v>0</v>
      </c>
      <c r="AU58" s="24">
        <f>SUM(AL59:AL59)</f>
        <v>0</v>
      </c>
    </row>
    <row r="59" spans="1:76" x14ac:dyDescent="0.25">
      <c r="A59" s="56" t="s">
        <v>155</v>
      </c>
      <c r="B59" s="57" t="s">
        <v>156</v>
      </c>
      <c r="C59" s="133" t="s">
        <v>157</v>
      </c>
      <c r="D59" s="134"/>
      <c r="E59" s="57" t="s">
        <v>68</v>
      </c>
      <c r="F59" s="58">
        <v>1</v>
      </c>
      <c r="G59" s="58">
        <v>0</v>
      </c>
      <c r="H59" s="58">
        <f>F59*AO59</f>
        <v>0</v>
      </c>
      <c r="I59" s="58">
        <f>F59*AP59</f>
        <v>0</v>
      </c>
      <c r="J59" s="58">
        <f>F59*G59</f>
        <v>0</v>
      </c>
      <c r="K59" s="59" t="s">
        <v>69</v>
      </c>
      <c r="Z59" s="47">
        <f>IF(AQ59="5",BJ59,0)</f>
        <v>0</v>
      </c>
      <c r="AB59" s="47">
        <f>IF(AQ59="1",BH59,0)</f>
        <v>0</v>
      </c>
      <c r="AC59" s="47">
        <f>IF(AQ59="1",BI59,0)</f>
        <v>0</v>
      </c>
      <c r="AD59" s="47">
        <f>IF(AQ59="7",BH59,0)</f>
        <v>0</v>
      </c>
      <c r="AE59" s="47">
        <f>IF(AQ59="7",BI59,0)</f>
        <v>0</v>
      </c>
      <c r="AF59" s="47">
        <f>IF(AQ59="2",BH59,0)</f>
        <v>0</v>
      </c>
      <c r="AG59" s="47">
        <f>IF(AQ59="2",BI59,0)</f>
        <v>0</v>
      </c>
      <c r="AH59" s="47">
        <f>IF(AQ59="0",BJ59,0)</f>
        <v>0</v>
      </c>
      <c r="AI59" s="30" t="s">
        <v>54</v>
      </c>
      <c r="AJ59" s="47">
        <f>IF(AN59=0,J59,0)</f>
        <v>0</v>
      </c>
      <c r="AK59" s="47">
        <f>IF(AN59=12,J59,0)</f>
        <v>0</v>
      </c>
      <c r="AL59" s="47">
        <f>IF(AN59=21,J59,0)</f>
        <v>0</v>
      </c>
      <c r="AN59" s="47">
        <v>21</v>
      </c>
      <c r="AO59" s="47">
        <f>G59*0.367273778</f>
        <v>0</v>
      </c>
      <c r="AP59" s="47">
        <f>G59*(1-0.367273778)</f>
        <v>0</v>
      </c>
      <c r="AQ59" s="49" t="s">
        <v>55</v>
      </c>
      <c r="AV59" s="47">
        <f>AW59+AX59</f>
        <v>0</v>
      </c>
      <c r="AW59" s="47">
        <f>F59*AO59</f>
        <v>0</v>
      </c>
      <c r="AX59" s="47">
        <f>F59*AP59</f>
        <v>0</v>
      </c>
      <c r="AY59" s="49" t="s">
        <v>158</v>
      </c>
      <c r="AZ59" s="49" t="s">
        <v>133</v>
      </c>
      <c r="BA59" s="30" t="s">
        <v>63</v>
      </c>
      <c r="BC59" s="47">
        <f>AW59+AX59</f>
        <v>0</v>
      </c>
      <c r="BD59" s="47">
        <f>G59/(100-BE59)*100</f>
        <v>0</v>
      </c>
      <c r="BE59" s="47">
        <v>0</v>
      </c>
      <c r="BF59" s="47">
        <f>59</f>
        <v>59</v>
      </c>
      <c r="BH59" s="47">
        <f>F59*AO59</f>
        <v>0</v>
      </c>
      <c r="BI59" s="47">
        <f>F59*AP59</f>
        <v>0</v>
      </c>
      <c r="BJ59" s="47">
        <f>F59*G59</f>
        <v>0</v>
      </c>
      <c r="BK59" s="47"/>
      <c r="BL59" s="47">
        <v>64</v>
      </c>
      <c r="BW59" s="47">
        <v>21</v>
      </c>
      <c r="BX59" s="50" t="s">
        <v>157</v>
      </c>
    </row>
    <row r="60" spans="1:76" ht="40.5" customHeight="1" x14ac:dyDescent="0.25">
      <c r="A60" s="60"/>
      <c r="C60" s="117" t="s">
        <v>159</v>
      </c>
      <c r="D60" s="118"/>
      <c r="E60" s="118"/>
      <c r="F60" s="118"/>
      <c r="G60" s="118"/>
      <c r="H60" s="118"/>
      <c r="I60" s="118"/>
      <c r="J60" s="118"/>
      <c r="K60" s="119"/>
    </row>
    <row r="61" spans="1:76" x14ac:dyDescent="0.25">
      <c r="A61" s="61"/>
      <c r="B61" s="62"/>
      <c r="C61" s="63" t="s">
        <v>55</v>
      </c>
      <c r="D61" s="64" t="s">
        <v>160</v>
      </c>
      <c r="E61" s="62"/>
      <c r="F61" s="65">
        <v>1</v>
      </c>
      <c r="G61" s="62"/>
      <c r="H61" s="62"/>
      <c r="I61" s="62"/>
      <c r="J61" s="62"/>
      <c r="K61" s="66"/>
    </row>
    <row r="62" spans="1:76" ht="38.25" x14ac:dyDescent="0.25">
      <c r="A62" s="60"/>
      <c r="B62" s="74" t="s">
        <v>90</v>
      </c>
      <c r="C62" s="117" t="s">
        <v>161</v>
      </c>
      <c r="D62" s="118"/>
      <c r="E62" s="118"/>
      <c r="F62" s="118"/>
      <c r="G62" s="118"/>
      <c r="H62" s="118"/>
      <c r="I62" s="118"/>
      <c r="J62" s="118"/>
      <c r="K62" s="119"/>
      <c r="BX62" s="75" t="s">
        <v>161</v>
      </c>
    </row>
    <row r="63" spans="1:76" x14ac:dyDescent="0.25">
      <c r="A63" s="56" t="s">
        <v>50</v>
      </c>
      <c r="B63" s="95" t="s">
        <v>162</v>
      </c>
      <c r="C63" s="141" t="s">
        <v>163</v>
      </c>
      <c r="D63" s="142"/>
      <c r="E63" s="57" t="s">
        <v>4</v>
      </c>
      <c r="F63" s="57" t="s">
        <v>4</v>
      </c>
      <c r="G63" s="57" t="s">
        <v>4</v>
      </c>
      <c r="H63" s="96">
        <f>SUM(H64:H64)</f>
        <v>0</v>
      </c>
      <c r="I63" s="96">
        <f>SUM(I64:I64)</f>
        <v>0</v>
      </c>
      <c r="J63" s="96">
        <f>SUM(J64:J64)</f>
        <v>0</v>
      </c>
      <c r="K63" s="97" t="s">
        <v>50</v>
      </c>
      <c r="AI63" s="30" t="s">
        <v>54</v>
      </c>
      <c r="AS63" s="24">
        <f>SUM(AJ64:AJ64)</f>
        <v>0</v>
      </c>
      <c r="AT63" s="24">
        <f>SUM(AK64:AK64)</f>
        <v>0</v>
      </c>
      <c r="AU63" s="24">
        <f>SUM(AL64:AL64)</f>
        <v>0</v>
      </c>
    </row>
    <row r="64" spans="1:76" ht="25.5" x14ac:dyDescent="0.25">
      <c r="A64" s="67" t="s">
        <v>164</v>
      </c>
      <c r="B64" s="68" t="s">
        <v>165</v>
      </c>
      <c r="C64" s="135" t="s">
        <v>166</v>
      </c>
      <c r="D64" s="136"/>
      <c r="E64" s="68" t="s">
        <v>77</v>
      </c>
      <c r="F64" s="69">
        <v>195.89</v>
      </c>
      <c r="G64" s="69">
        <v>0</v>
      </c>
      <c r="H64" s="69">
        <f>F64*AO64</f>
        <v>0</v>
      </c>
      <c r="I64" s="69">
        <f>F64*AP64</f>
        <v>0</v>
      </c>
      <c r="J64" s="69">
        <f>F64*G64</f>
        <v>0</v>
      </c>
      <c r="K64" s="70" t="s">
        <v>69</v>
      </c>
      <c r="Z64" s="47">
        <f>IF(AQ64="5",BJ64,0)</f>
        <v>0</v>
      </c>
      <c r="AB64" s="47">
        <f>IF(AQ64="1",BH64,0)</f>
        <v>0</v>
      </c>
      <c r="AC64" s="47">
        <f>IF(AQ64="1",BI64,0)</f>
        <v>0</v>
      </c>
      <c r="AD64" s="47">
        <f>IF(AQ64="7",BH64,0)</f>
        <v>0</v>
      </c>
      <c r="AE64" s="47">
        <f>IF(AQ64="7",BI64,0)</f>
        <v>0</v>
      </c>
      <c r="AF64" s="47">
        <f>IF(AQ64="2",BH64,0)</f>
        <v>0</v>
      </c>
      <c r="AG64" s="47">
        <f>IF(AQ64="2",BI64,0)</f>
        <v>0</v>
      </c>
      <c r="AH64" s="47">
        <f>IF(AQ64="0",BJ64,0)</f>
        <v>0</v>
      </c>
      <c r="AI64" s="30" t="s">
        <v>54</v>
      </c>
      <c r="AJ64" s="47">
        <f>IF(AN64=0,J64,0)</f>
        <v>0</v>
      </c>
      <c r="AK64" s="47">
        <f>IF(AN64=12,J64,0)</f>
        <v>0</v>
      </c>
      <c r="AL64" s="47">
        <f>IF(AN64=21,J64,0)</f>
        <v>0</v>
      </c>
      <c r="AN64" s="47">
        <v>21</v>
      </c>
      <c r="AO64" s="47">
        <f>G64*0</f>
        <v>0</v>
      </c>
      <c r="AP64" s="47">
        <f>G64*(1-0)</f>
        <v>0</v>
      </c>
      <c r="AQ64" s="49" t="s">
        <v>106</v>
      </c>
      <c r="AV64" s="47">
        <f>AW64+AX64</f>
        <v>0</v>
      </c>
      <c r="AW64" s="47">
        <f>F64*AO64</f>
        <v>0</v>
      </c>
      <c r="AX64" s="47">
        <f>F64*AP64</f>
        <v>0</v>
      </c>
      <c r="AY64" s="49" t="s">
        <v>167</v>
      </c>
      <c r="AZ64" s="49" t="s">
        <v>168</v>
      </c>
      <c r="BA64" s="30" t="s">
        <v>63</v>
      </c>
      <c r="BC64" s="47">
        <f>AW64+AX64</f>
        <v>0</v>
      </c>
      <c r="BD64" s="47">
        <f>G64/(100-BE64)*100</f>
        <v>0</v>
      </c>
      <c r="BE64" s="47">
        <v>0</v>
      </c>
      <c r="BF64" s="47">
        <f>64</f>
        <v>64</v>
      </c>
      <c r="BH64" s="47">
        <f>F64*AO64</f>
        <v>0</v>
      </c>
      <c r="BI64" s="47">
        <f>F64*AP64</f>
        <v>0</v>
      </c>
      <c r="BJ64" s="47">
        <f>F64*G64</f>
        <v>0</v>
      </c>
      <c r="BK64" s="47"/>
      <c r="BL64" s="47">
        <v>713</v>
      </c>
      <c r="BW64" s="47">
        <v>21</v>
      </c>
      <c r="BX64" s="50" t="s">
        <v>166</v>
      </c>
    </row>
    <row r="65" spans="1:76" ht="13.5" customHeight="1" x14ac:dyDescent="0.25">
      <c r="A65" s="60"/>
      <c r="C65" s="117" t="s">
        <v>169</v>
      </c>
      <c r="D65" s="118"/>
      <c r="E65" s="118"/>
      <c r="F65" s="118"/>
      <c r="G65" s="118"/>
      <c r="H65" s="118"/>
      <c r="I65" s="118"/>
      <c r="J65" s="118"/>
      <c r="K65" s="119"/>
    </row>
    <row r="66" spans="1:76" x14ac:dyDescent="0.25">
      <c r="A66" s="61"/>
      <c r="B66" s="62"/>
      <c r="C66" s="63" t="s">
        <v>170</v>
      </c>
      <c r="D66" s="64" t="s">
        <v>171</v>
      </c>
      <c r="E66" s="62"/>
      <c r="F66" s="65">
        <v>195.89</v>
      </c>
      <c r="G66" s="62"/>
      <c r="H66" s="62"/>
      <c r="I66" s="62"/>
      <c r="J66" s="62"/>
      <c r="K66" s="66"/>
    </row>
    <row r="67" spans="1:76" x14ac:dyDescent="0.25">
      <c r="A67" s="90" t="s">
        <v>50</v>
      </c>
      <c r="B67" s="91" t="s">
        <v>172</v>
      </c>
      <c r="C67" s="137" t="s">
        <v>173</v>
      </c>
      <c r="D67" s="138"/>
      <c r="E67" s="92" t="s">
        <v>4</v>
      </c>
      <c r="F67" s="92" t="s">
        <v>4</v>
      </c>
      <c r="G67" s="92" t="s">
        <v>4</v>
      </c>
      <c r="H67" s="93">
        <f>SUM(H68:H75)</f>
        <v>0</v>
      </c>
      <c r="I67" s="93">
        <f>SUM(I68:I75)</f>
        <v>0</v>
      </c>
      <c r="J67" s="93">
        <f>SUM(J68:J75)</f>
        <v>0</v>
      </c>
      <c r="K67" s="94" t="s">
        <v>50</v>
      </c>
      <c r="AI67" s="30" t="s">
        <v>54</v>
      </c>
      <c r="AS67" s="24">
        <f>SUM(AJ68:AJ75)</f>
        <v>0</v>
      </c>
      <c r="AT67" s="24">
        <f>SUM(AK68:AK75)</f>
        <v>0</v>
      </c>
      <c r="AU67" s="24">
        <f>SUM(AL68:AL75)</f>
        <v>0</v>
      </c>
    </row>
    <row r="68" spans="1:76" x14ac:dyDescent="0.25">
      <c r="A68" s="56" t="s">
        <v>174</v>
      </c>
      <c r="B68" s="57" t="s">
        <v>175</v>
      </c>
      <c r="C68" s="133" t="s">
        <v>176</v>
      </c>
      <c r="D68" s="134"/>
      <c r="E68" s="57" t="s">
        <v>101</v>
      </c>
      <c r="F68" s="58">
        <v>3</v>
      </c>
      <c r="G68" s="58">
        <v>0</v>
      </c>
      <c r="H68" s="58">
        <f>F68*AO68</f>
        <v>0</v>
      </c>
      <c r="I68" s="58">
        <f>F68*AP68</f>
        <v>0</v>
      </c>
      <c r="J68" s="58">
        <f>F68*G68</f>
        <v>0</v>
      </c>
      <c r="K68" s="59" t="s">
        <v>69</v>
      </c>
      <c r="Z68" s="47">
        <f>IF(AQ68="5",BJ68,0)</f>
        <v>0</v>
      </c>
      <c r="AB68" s="47">
        <f>IF(AQ68="1",BH68,0)</f>
        <v>0</v>
      </c>
      <c r="AC68" s="47">
        <f>IF(AQ68="1",BI68,0)</f>
        <v>0</v>
      </c>
      <c r="AD68" s="47">
        <f>IF(AQ68="7",BH68,0)</f>
        <v>0</v>
      </c>
      <c r="AE68" s="47">
        <f>IF(AQ68="7",BI68,0)</f>
        <v>0</v>
      </c>
      <c r="AF68" s="47">
        <f>IF(AQ68="2",BH68,0)</f>
        <v>0</v>
      </c>
      <c r="AG68" s="47">
        <f>IF(AQ68="2",BI68,0)</f>
        <v>0</v>
      </c>
      <c r="AH68" s="47">
        <f>IF(AQ68="0",BJ68,0)</f>
        <v>0</v>
      </c>
      <c r="AI68" s="30" t="s">
        <v>54</v>
      </c>
      <c r="AJ68" s="47">
        <f>IF(AN68=0,J68,0)</f>
        <v>0</v>
      </c>
      <c r="AK68" s="47">
        <f>IF(AN68=12,J68,0)</f>
        <v>0</v>
      </c>
      <c r="AL68" s="47">
        <f>IF(AN68=21,J68,0)</f>
        <v>0</v>
      </c>
      <c r="AN68" s="47">
        <v>21</v>
      </c>
      <c r="AO68" s="47">
        <f>G68*0</f>
        <v>0</v>
      </c>
      <c r="AP68" s="47">
        <f>G68*(1-0)</f>
        <v>0</v>
      </c>
      <c r="AQ68" s="49" t="s">
        <v>106</v>
      </c>
      <c r="AV68" s="47">
        <f>AW68+AX68</f>
        <v>0</v>
      </c>
      <c r="AW68" s="47">
        <f>F68*AO68</f>
        <v>0</v>
      </c>
      <c r="AX68" s="47">
        <f>F68*AP68</f>
        <v>0</v>
      </c>
      <c r="AY68" s="49" t="s">
        <v>177</v>
      </c>
      <c r="AZ68" s="49" t="s">
        <v>178</v>
      </c>
      <c r="BA68" s="30" t="s">
        <v>63</v>
      </c>
      <c r="BC68" s="47">
        <f>AW68+AX68</f>
        <v>0</v>
      </c>
      <c r="BD68" s="47">
        <f>G68/(100-BE68)*100</f>
        <v>0</v>
      </c>
      <c r="BE68" s="47">
        <v>0</v>
      </c>
      <c r="BF68" s="47">
        <f>68</f>
        <v>68</v>
      </c>
      <c r="BH68" s="47">
        <f>F68*AO68</f>
        <v>0</v>
      </c>
      <c r="BI68" s="47">
        <f>F68*AP68</f>
        <v>0</v>
      </c>
      <c r="BJ68" s="47">
        <f>F68*G68</f>
        <v>0</v>
      </c>
      <c r="BK68" s="47"/>
      <c r="BL68" s="47">
        <v>764</v>
      </c>
      <c r="BW68" s="47">
        <v>21</v>
      </c>
      <c r="BX68" s="50" t="s">
        <v>176</v>
      </c>
    </row>
    <row r="69" spans="1:76" x14ac:dyDescent="0.25">
      <c r="A69" s="83"/>
      <c r="B69" s="84"/>
      <c r="C69" s="85" t="s">
        <v>179</v>
      </c>
      <c r="D69" s="86" t="s">
        <v>180</v>
      </c>
      <c r="E69" s="84"/>
      <c r="F69" s="87">
        <v>3</v>
      </c>
      <c r="G69" s="84"/>
      <c r="H69" s="84"/>
      <c r="I69" s="84"/>
      <c r="J69" s="84"/>
      <c r="K69" s="88"/>
    </row>
    <row r="70" spans="1:76" x14ac:dyDescent="0.25">
      <c r="A70" s="67" t="s">
        <v>181</v>
      </c>
      <c r="B70" s="68" t="s">
        <v>182</v>
      </c>
      <c r="C70" s="135" t="s">
        <v>183</v>
      </c>
      <c r="D70" s="136"/>
      <c r="E70" s="68" t="s">
        <v>101</v>
      </c>
      <c r="F70" s="69">
        <v>3</v>
      </c>
      <c r="G70" s="69">
        <v>0</v>
      </c>
      <c r="H70" s="69">
        <f>F70*AO70</f>
        <v>0</v>
      </c>
      <c r="I70" s="69">
        <f>F70*AP70</f>
        <v>0</v>
      </c>
      <c r="J70" s="69">
        <f>F70*G70</f>
        <v>0</v>
      </c>
      <c r="K70" s="70" t="s">
        <v>69</v>
      </c>
      <c r="Z70" s="47">
        <f>IF(AQ70="5",BJ70,0)</f>
        <v>0</v>
      </c>
      <c r="AB70" s="47">
        <f>IF(AQ70="1",BH70,0)</f>
        <v>0</v>
      </c>
      <c r="AC70" s="47">
        <f>IF(AQ70="1",BI70,0)</f>
        <v>0</v>
      </c>
      <c r="AD70" s="47">
        <f>IF(AQ70="7",BH70,0)</f>
        <v>0</v>
      </c>
      <c r="AE70" s="47">
        <f>IF(AQ70="7",BI70,0)</f>
        <v>0</v>
      </c>
      <c r="AF70" s="47">
        <f>IF(AQ70="2",BH70,0)</f>
        <v>0</v>
      </c>
      <c r="AG70" s="47">
        <f>IF(AQ70="2",BI70,0)</f>
        <v>0</v>
      </c>
      <c r="AH70" s="47">
        <f>IF(AQ70="0",BJ70,0)</f>
        <v>0</v>
      </c>
      <c r="AI70" s="30" t="s">
        <v>54</v>
      </c>
      <c r="AJ70" s="47">
        <f>IF(AN70=0,J70,0)</f>
        <v>0</v>
      </c>
      <c r="AK70" s="47">
        <f>IF(AN70=12,J70,0)</f>
        <v>0</v>
      </c>
      <c r="AL70" s="47">
        <f>IF(AN70=21,J70,0)</f>
        <v>0</v>
      </c>
      <c r="AN70" s="47">
        <v>21</v>
      </c>
      <c r="AO70" s="47">
        <f>G70*0.479537303</f>
        <v>0</v>
      </c>
      <c r="AP70" s="47">
        <f>G70*(1-0.479537303)</f>
        <v>0</v>
      </c>
      <c r="AQ70" s="49" t="s">
        <v>106</v>
      </c>
      <c r="AV70" s="47">
        <f>AW70+AX70</f>
        <v>0</v>
      </c>
      <c r="AW70" s="47">
        <f>F70*AO70</f>
        <v>0</v>
      </c>
      <c r="AX70" s="47">
        <f>F70*AP70</f>
        <v>0</v>
      </c>
      <c r="AY70" s="49" t="s">
        <v>177</v>
      </c>
      <c r="AZ70" s="49" t="s">
        <v>178</v>
      </c>
      <c r="BA70" s="30" t="s">
        <v>63</v>
      </c>
      <c r="BC70" s="47">
        <f>AW70+AX70</f>
        <v>0</v>
      </c>
      <c r="BD70" s="47">
        <f>G70/(100-BE70)*100</f>
        <v>0</v>
      </c>
      <c r="BE70" s="47">
        <v>0</v>
      </c>
      <c r="BF70" s="47">
        <f>70</f>
        <v>70</v>
      </c>
      <c r="BH70" s="47">
        <f>F70*AO70</f>
        <v>0</v>
      </c>
      <c r="BI70" s="47">
        <f>F70*AP70</f>
        <v>0</v>
      </c>
      <c r="BJ70" s="47">
        <f>F70*G70</f>
        <v>0</v>
      </c>
      <c r="BK70" s="47"/>
      <c r="BL70" s="47">
        <v>764</v>
      </c>
      <c r="BW70" s="47">
        <v>21</v>
      </c>
      <c r="BX70" s="50" t="s">
        <v>183</v>
      </c>
    </row>
    <row r="71" spans="1:76" ht="27" customHeight="1" x14ac:dyDescent="0.25">
      <c r="A71" s="60"/>
      <c r="C71" s="117" t="s">
        <v>184</v>
      </c>
      <c r="D71" s="118"/>
      <c r="E71" s="118"/>
      <c r="F71" s="118"/>
      <c r="G71" s="118"/>
      <c r="H71" s="118"/>
      <c r="I71" s="118"/>
      <c r="J71" s="118"/>
      <c r="K71" s="119"/>
    </row>
    <row r="72" spans="1:76" x14ac:dyDescent="0.25">
      <c r="A72" s="61"/>
      <c r="B72" s="62"/>
      <c r="C72" s="63" t="s">
        <v>179</v>
      </c>
      <c r="D72" s="64" t="s">
        <v>185</v>
      </c>
      <c r="E72" s="62"/>
      <c r="F72" s="65">
        <v>3</v>
      </c>
      <c r="G72" s="62"/>
      <c r="H72" s="62"/>
      <c r="I72" s="62"/>
      <c r="J72" s="62"/>
      <c r="K72" s="66"/>
    </row>
    <row r="73" spans="1:76" x14ac:dyDescent="0.25">
      <c r="A73" s="67" t="s">
        <v>186</v>
      </c>
      <c r="B73" s="68" t="s">
        <v>175</v>
      </c>
      <c r="C73" s="135" t="s">
        <v>176</v>
      </c>
      <c r="D73" s="136"/>
      <c r="E73" s="68" t="s">
        <v>101</v>
      </c>
      <c r="F73" s="69">
        <v>2.95</v>
      </c>
      <c r="G73" s="69">
        <v>0</v>
      </c>
      <c r="H73" s="69">
        <f>F73*AO73</f>
        <v>0</v>
      </c>
      <c r="I73" s="69">
        <f>F73*AP73</f>
        <v>0</v>
      </c>
      <c r="J73" s="69">
        <f>F73*G73</f>
        <v>0</v>
      </c>
      <c r="K73" s="70" t="s">
        <v>69</v>
      </c>
      <c r="Z73" s="47">
        <f>IF(AQ73="5",BJ73,0)</f>
        <v>0</v>
      </c>
      <c r="AB73" s="47">
        <f>IF(AQ73="1",BH73,0)</f>
        <v>0</v>
      </c>
      <c r="AC73" s="47">
        <f>IF(AQ73="1",BI73,0)</f>
        <v>0</v>
      </c>
      <c r="AD73" s="47">
        <f>IF(AQ73="7",BH73,0)</f>
        <v>0</v>
      </c>
      <c r="AE73" s="47">
        <f>IF(AQ73="7",BI73,0)</f>
        <v>0</v>
      </c>
      <c r="AF73" s="47">
        <f>IF(AQ73="2",BH73,0)</f>
        <v>0</v>
      </c>
      <c r="AG73" s="47">
        <f>IF(AQ73="2",BI73,0)</f>
        <v>0</v>
      </c>
      <c r="AH73" s="47">
        <f>IF(AQ73="0",BJ73,0)</f>
        <v>0</v>
      </c>
      <c r="AI73" s="30" t="s">
        <v>54</v>
      </c>
      <c r="AJ73" s="47">
        <f>IF(AN73=0,J73,0)</f>
        <v>0</v>
      </c>
      <c r="AK73" s="47">
        <f>IF(AN73=12,J73,0)</f>
        <v>0</v>
      </c>
      <c r="AL73" s="47">
        <f>IF(AN73=21,J73,0)</f>
        <v>0</v>
      </c>
      <c r="AN73" s="47">
        <v>21</v>
      </c>
      <c r="AO73" s="47">
        <f>G73*0</f>
        <v>0</v>
      </c>
      <c r="AP73" s="47">
        <f>G73*(1-0)</f>
        <v>0</v>
      </c>
      <c r="AQ73" s="49" t="s">
        <v>106</v>
      </c>
      <c r="AV73" s="47">
        <f>AW73+AX73</f>
        <v>0</v>
      </c>
      <c r="AW73" s="47">
        <f>F73*AO73</f>
        <v>0</v>
      </c>
      <c r="AX73" s="47">
        <f>F73*AP73</f>
        <v>0</v>
      </c>
      <c r="AY73" s="49" t="s">
        <v>177</v>
      </c>
      <c r="AZ73" s="49" t="s">
        <v>178</v>
      </c>
      <c r="BA73" s="30" t="s">
        <v>63</v>
      </c>
      <c r="BC73" s="47">
        <f>AW73+AX73</f>
        <v>0</v>
      </c>
      <c r="BD73" s="47">
        <f>G73/(100-BE73)*100</f>
        <v>0</v>
      </c>
      <c r="BE73" s="47">
        <v>0</v>
      </c>
      <c r="BF73" s="47">
        <f>73</f>
        <v>73</v>
      </c>
      <c r="BH73" s="47">
        <f>F73*AO73</f>
        <v>0</v>
      </c>
      <c r="BI73" s="47">
        <f>F73*AP73</f>
        <v>0</v>
      </c>
      <c r="BJ73" s="47">
        <f>F73*G73</f>
        <v>0</v>
      </c>
      <c r="BK73" s="47"/>
      <c r="BL73" s="47">
        <v>764</v>
      </c>
      <c r="BW73" s="47">
        <v>21</v>
      </c>
      <c r="BX73" s="50" t="s">
        <v>176</v>
      </c>
    </row>
    <row r="74" spans="1:76" x14ac:dyDescent="0.25">
      <c r="A74" s="83"/>
      <c r="B74" s="84"/>
      <c r="C74" s="85" t="s">
        <v>187</v>
      </c>
      <c r="D74" s="86" t="s">
        <v>188</v>
      </c>
      <c r="E74" s="84"/>
      <c r="F74" s="87">
        <v>2.95</v>
      </c>
      <c r="G74" s="84"/>
      <c r="H74" s="84"/>
      <c r="I74" s="84"/>
      <c r="J74" s="84"/>
      <c r="K74" s="88"/>
    </row>
    <row r="75" spans="1:76" x14ac:dyDescent="0.25">
      <c r="A75" s="98" t="s">
        <v>189</v>
      </c>
      <c r="B75" s="99" t="s">
        <v>190</v>
      </c>
      <c r="C75" s="120" t="s">
        <v>191</v>
      </c>
      <c r="D75" s="121"/>
      <c r="E75" s="99" t="s">
        <v>192</v>
      </c>
      <c r="F75" s="100">
        <v>11.51676</v>
      </c>
      <c r="G75" s="100">
        <v>0</v>
      </c>
      <c r="H75" s="100">
        <f>F75*AO75</f>
        <v>0</v>
      </c>
      <c r="I75" s="100">
        <f>F75*AP75</f>
        <v>0</v>
      </c>
      <c r="J75" s="100">
        <f>F75*G75</f>
        <v>0</v>
      </c>
      <c r="K75" s="101" t="s">
        <v>69</v>
      </c>
      <c r="Z75" s="47">
        <f>IF(AQ75="5",BJ75,0)</f>
        <v>0</v>
      </c>
      <c r="AB75" s="47">
        <f>IF(AQ75="1",BH75,0)</f>
        <v>0</v>
      </c>
      <c r="AC75" s="47">
        <f>IF(AQ75="1",BI75,0)</f>
        <v>0</v>
      </c>
      <c r="AD75" s="47">
        <f>IF(AQ75="7",BH75,0)</f>
        <v>0</v>
      </c>
      <c r="AE75" s="47">
        <f>IF(AQ75="7",BI75,0)</f>
        <v>0</v>
      </c>
      <c r="AF75" s="47">
        <f>IF(AQ75="2",BH75,0)</f>
        <v>0</v>
      </c>
      <c r="AG75" s="47">
        <f>IF(AQ75="2",BI75,0)</f>
        <v>0</v>
      </c>
      <c r="AH75" s="47">
        <f>IF(AQ75="0",BJ75,0)</f>
        <v>0</v>
      </c>
      <c r="AI75" s="30" t="s">
        <v>54</v>
      </c>
      <c r="AJ75" s="47">
        <f>IF(AN75=0,J75,0)</f>
        <v>0</v>
      </c>
      <c r="AK75" s="47">
        <f>IF(AN75=12,J75,0)</f>
        <v>0</v>
      </c>
      <c r="AL75" s="47">
        <f>IF(AN75=21,J75,0)</f>
        <v>0</v>
      </c>
      <c r="AN75" s="47">
        <v>21</v>
      </c>
      <c r="AO75" s="47">
        <f>G75*0</f>
        <v>0</v>
      </c>
      <c r="AP75" s="47">
        <f>G75*(1-0)</f>
        <v>0</v>
      </c>
      <c r="AQ75" s="49" t="s">
        <v>92</v>
      </c>
      <c r="AV75" s="47">
        <f>AW75+AX75</f>
        <v>0</v>
      </c>
      <c r="AW75" s="47">
        <f>F75*AO75</f>
        <v>0</v>
      </c>
      <c r="AX75" s="47">
        <f>F75*AP75</f>
        <v>0</v>
      </c>
      <c r="AY75" s="49" t="s">
        <v>177</v>
      </c>
      <c r="AZ75" s="49" t="s">
        <v>178</v>
      </c>
      <c r="BA75" s="30" t="s">
        <v>63</v>
      </c>
      <c r="BC75" s="47">
        <f>AW75+AX75</f>
        <v>0</v>
      </c>
      <c r="BD75" s="47">
        <f>G75/(100-BE75)*100</f>
        <v>0</v>
      </c>
      <c r="BE75" s="47">
        <v>0</v>
      </c>
      <c r="BF75" s="47">
        <f>75</f>
        <v>75</v>
      </c>
      <c r="BH75" s="47">
        <f>F75*AO75</f>
        <v>0</v>
      </c>
      <c r="BI75" s="47">
        <f>F75*AP75</f>
        <v>0</v>
      </c>
      <c r="BJ75" s="47">
        <f>F75*G75</f>
        <v>0</v>
      </c>
      <c r="BK75" s="47"/>
      <c r="BL75" s="47">
        <v>764</v>
      </c>
      <c r="BW75" s="47">
        <v>21</v>
      </c>
      <c r="BX75" s="50" t="s">
        <v>191</v>
      </c>
    </row>
    <row r="76" spans="1:76" x14ac:dyDescent="0.25">
      <c r="A76" s="43" t="s">
        <v>50</v>
      </c>
      <c r="B76" s="44" t="s">
        <v>193</v>
      </c>
      <c r="C76" s="143" t="s">
        <v>194</v>
      </c>
      <c r="D76" s="144"/>
      <c r="E76" s="45" t="s">
        <v>4</v>
      </c>
      <c r="F76" s="45" t="s">
        <v>4</v>
      </c>
      <c r="G76" s="45" t="s">
        <v>4</v>
      </c>
      <c r="H76" s="24">
        <f>SUM(H77:H82)</f>
        <v>0</v>
      </c>
      <c r="I76" s="24">
        <f>SUM(I77:I82)</f>
        <v>0</v>
      </c>
      <c r="J76" s="24">
        <f>SUM(J77:J82)</f>
        <v>0</v>
      </c>
      <c r="K76" s="46" t="s">
        <v>50</v>
      </c>
      <c r="AI76" s="30" t="s">
        <v>54</v>
      </c>
      <c r="AS76" s="24">
        <f>SUM(AJ77:AJ82)</f>
        <v>0</v>
      </c>
      <c r="AT76" s="24">
        <f>SUM(AK77:AK82)</f>
        <v>0</v>
      </c>
      <c r="AU76" s="24">
        <f>SUM(AL77:AL82)</f>
        <v>0</v>
      </c>
    </row>
    <row r="77" spans="1:76" x14ac:dyDescent="0.25">
      <c r="A77" s="43" t="s">
        <v>195</v>
      </c>
      <c r="B77" s="45" t="s">
        <v>196</v>
      </c>
      <c r="C77" s="126" t="s">
        <v>197</v>
      </c>
      <c r="D77" s="127"/>
      <c r="E77" s="45" t="s">
        <v>198</v>
      </c>
      <c r="F77" s="47">
        <v>2173.13</v>
      </c>
      <c r="G77" s="47">
        <v>0</v>
      </c>
      <c r="H77" s="47">
        <f>F77*AO77</f>
        <v>0</v>
      </c>
      <c r="I77" s="47">
        <f>F77*AP77</f>
        <v>0</v>
      </c>
      <c r="J77" s="47">
        <f>F77*G77</f>
        <v>0</v>
      </c>
      <c r="K77" s="48" t="s">
        <v>69</v>
      </c>
      <c r="Z77" s="47">
        <f>IF(AQ77="5",BJ77,0)</f>
        <v>0</v>
      </c>
      <c r="AB77" s="47">
        <f>IF(AQ77="1",BH77,0)</f>
        <v>0</v>
      </c>
      <c r="AC77" s="47">
        <f>IF(AQ77="1",BI77,0)</f>
        <v>0</v>
      </c>
      <c r="AD77" s="47">
        <f>IF(AQ77="7",BH77,0)</f>
        <v>0</v>
      </c>
      <c r="AE77" s="47">
        <f>IF(AQ77="7",BI77,0)</f>
        <v>0</v>
      </c>
      <c r="AF77" s="47">
        <f>IF(AQ77="2",BH77,0)</f>
        <v>0</v>
      </c>
      <c r="AG77" s="47">
        <f>IF(AQ77="2",BI77,0)</f>
        <v>0</v>
      </c>
      <c r="AH77" s="47">
        <f>IF(AQ77="0",BJ77,0)</f>
        <v>0</v>
      </c>
      <c r="AI77" s="30" t="s">
        <v>54</v>
      </c>
      <c r="AJ77" s="47">
        <f>IF(AN77=0,J77,0)</f>
        <v>0</v>
      </c>
      <c r="AK77" s="47">
        <f>IF(AN77=12,J77,0)</f>
        <v>0</v>
      </c>
      <c r="AL77" s="47">
        <f>IF(AN77=21,J77,0)</f>
        <v>0</v>
      </c>
      <c r="AN77" s="47">
        <v>21</v>
      </c>
      <c r="AO77" s="47">
        <f>G77*0</f>
        <v>0</v>
      </c>
      <c r="AP77" s="47">
        <f>G77*(1-0)</f>
        <v>0</v>
      </c>
      <c r="AQ77" s="49" t="s">
        <v>92</v>
      </c>
      <c r="AV77" s="47">
        <f>AW77+AX77</f>
        <v>0</v>
      </c>
      <c r="AW77" s="47">
        <f>F77*AO77</f>
        <v>0</v>
      </c>
      <c r="AX77" s="47">
        <f>F77*AP77</f>
        <v>0</v>
      </c>
      <c r="AY77" s="49" t="s">
        <v>199</v>
      </c>
      <c r="AZ77" s="49" t="s">
        <v>178</v>
      </c>
      <c r="BA77" s="30" t="s">
        <v>63</v>
      </c>
      <c r="BC77" s="47">
        <f>AW77+AX77</f>
        <v>0</v>
      </c>
      <c r="BD77" s="47">
        <f>G77/(100-BE77)*100</f>
        <v>0</v>
      </c>
      <c r="BE77" s="47">
        <v>0</v>
      </c>
      <c r="BF77" s="47">
        <f>77</f>
        <v>77</v>
      </c>
      <c r="BH77" s="47">
        <f>F77*AO77</f>
        <v>0</v>
      </c>
      <c r="BI77" s="47">
        <f>F77*AP77</f>
        <v>0</v>
      </c>
      <c r="BJ77" s="47">
        <f>F77*G77</f>
        <v>0</v>
      </c>
      <c r="BK77" s="47"/>
      <c r="BL77" s="47">
        <v>766</v>
      </c>
      <c r="BW77" s="47">
        <v>21</v>
      </c>
      <c r="BX77" s="50" t="s">
        <v>197</v>
      </c>
    </row>
    <row r="78" spans="1:76" x14ac:dyDescent="0.25">
      <c r="A78" s="102"/>
      <c r="C78" s="103" t="s">
        <v>200</v>
      </c>
      <c r="D78" s="104" t="s">
        <v>50</v>
      </c>
      <c r="F78" s="105">
        <v>2173.13</v>
      </c>
      <c r="K78" s="106"/>
    </row>
    <row r="79" spans="1:76" x14ac:dyDescent="0.25">
      <c r="A79" s="56" t="s">
        <v>201</v>
      </c>
      <c r="B79" s="57" t="s">
        <v>202</v>
      </c>
      <c r="C79" s="133" t="s">
        <v>203</v>
      </c>
      <c r="D79" s="134"/>
      <c r="E79" s="57" t="s">
        <v>68</v>
      </c>
      <c r="F79" s="58">
        <v>1</v>
      </c>
      <c r="G79" s="58">
        <v>0</v>
      </c>
      <c r="H79" s="58">
        <f>F79*AO79</f>
        <v>0</v>
      </c>
      <c r="I79" s="58">
        <f>F79*AP79</f>
        <v>0</v>
      </c>
      <c r="J79" s="58">
        <f>F79*G79</f>
        <v>0</v>
      </c>
      <c r="K79" s="59" t="s">
        <v>59</v>
      </c>
      <c r="Z79" s="47">
        <f>IF(AQ79="5",BJ79,0)</f>
        <v>0</v>
      </c>
      <c r="AB79" s="47">
        <f>IF(AQ79="1",BH79,0)</f>
        <v>0</v>
      </c>
      <c r="AC79" s="47">
        <f>IF(AQ79="1",BI79,0)</f>
        <v>0</v>
      </c>
      <c r="AD79" s="47">
        <f>IF(AQ79="7",BH79,0)</f>
        <v>0</v>
      </c>
      <c r="AE79" s="47">
        <f>IF(AQ79="7",BI79,0)</f>
        <v>0</v>
      </c>
      <c r="AF79" s="47">
        <f>IF(AQ79="2",BH79,0)</f>
        <v>0</v>
      </c>
      <c r="AG79" s="47">
        <f>IF(AQ79="2",BI79,0)</f>
        <v>0</v>
      </c>
      <c r="AH79" s="47">
        <f>IF(AQ79="0",BJ79,0)</f>
        <v>0</v>
      </c>
      <c r="AI79" s="30" t="s">
        <v>54</v>
      </c>
      <c r="AJ79" s="47">
        <f>IF(AN79=0,J79,0)</f>
        <v>0</v>
      </c>
      <c r="AK79" s="47">
        <f>IF(AN79=12,J79,0)</f>
        <v>0</v>
      </c>
      <c r="AL79" s="47">
        <f>IF(AN79=21,J79,0)</f>
        <v>0</v>
      </c>
      <c r="AN79" s="47">
        <v>21</v>
      </c>
      <c r="AO79" s="47">
        <f>G79*1</f>
        <v>0</v>
      </c>
      <c r="AP79" s="47">
        <f>G79*(1-1)</f>
        <v>0</v>
      </c>
      <c r="AQ79" s="49" t="s">
        <v>106</v>
      </c>
      <c r="AV79" s="47">
        <f>AW79+AX79</f>
        <v>0</v>
      </c>
      <c r="AW79" s="47">
        <f>F79*AO79</f>
        <v>0</v>
      </c>
      <c r="AX79" s="47">
        <f>F79*AP79</f>
        <v>0</v>
      </c>
      <c r="AY79" s="49" t="s">
        <v>199</v>
      </c>
      <c r="AZ79" s="49" t="s">
        <v>178</v>
      </c>
      <c r="BA79" s="30" t="s">
        <v>63</v>
      </c>
      <c r="BC79" s="47">
        <f>AW79+AX79</f>
        <v>0</v>
      </c>
      <c r="BD79" s="47">
        <f>G79/(100-BE79)*100</f>
        <v>0</v>
      </c>
      <c r="BE79" s="47">
        <v>0</v>
      </c>
      <c r="BF79" s="47">
        <f>79</f>
        <v>79</v>
      </c>
      <c r="BH79" s="47">
        <f>F79*AO79</f>
        <v>0</v>
      </c>
      <c r="BI79" s="47">
        <f>F79*AP79</f>
        <v>0</v>
      </c>
      <c r="BJ79" s="47">
        <f>F79*G79</f>
        <v>0</v>
      </c>
      <c r="BK79" s="47"/>
      <c r="BL79" s="47">
        <v>766</v>
      </c>
      <c r="BW79" s="47">
        <v>21</v>
      </c>
      <c r="BX79" s="50" t="s">
        <v>203</v>
      </c>
    </row>
    <row r="80" spans="1:76" ht="13.5" customHeight="1" x14ac:dyDescent="0.25">
      <c r="A80" s="60"/>
      <c r="C80" s="117" t="s">
        <v>204</v>
      </c>
      <c r="D80" s="118"/>
      <c r="E80" s="118"/>
      <c r="F80" s="118"/>
      <c r="G80" s="118"/>
      <c r="H80" s="118"/>
      <c r="I80" s="118"/>
      <c r="J80" s="118"/>
      <c r="K80" s="119"/>
    </row>
    <row r="81" spans="1:76" x14ac:dyDescent="0.25">
      <c r="A81" s="61"/>
      <c r="B81" s="62"/>
      <c r="C81" s="63" t="s">
        <v>55</v>
      </c>
      <c r="D81" s="64" t="s">
        <v>205</v>
      </c>
      <c r="E81" s="62"/>
      <c r="F81" s="65">
        <v>1</v>
      </c>
      <c r="G81" s="62"/>
      <c r="H81" s="62"/>
      <c r="I81" s="62"/>
      <c r="J81" s="62"/>
      <c r="K81" s="66"/>
    </row>
    <row r="82" spans="1:76" x14ac:dyDescent="0.25">
      <c r="A82" s="67" t="s">
        <v>206</v>
      </c>
      <c r="B82" s="68" t="s">
        <v>207</v>
      </c>
      <c r="C82" s="135" t="s">
        <v>208</v>
      </c>
      <c r="D82" s="136"/>
      <c r="E82" s="68" t="s">
        <v>68</v>
      </c>
      <c r="F82" s="69">
        <v>1</v>
      </c>
      <c r="G82" s="69">
        <v>0</v>
      </c>
      <c r="H82" s="69">
        <f>F82*AO82</f>
        <v>0</v>
      </c>
      <c r="I82" s="69">
        <f>F82*AP82</f>
        <v>0</v>
      </c>
      <c r="J82" s="69">
        <f>F82*G82</f>
        <v>0</v>
      </c>
      <c r="K82" s="70" t="s">
        <v>59</v>
      </c>
      <c r="Z82" s="47">
        <f>IF(AQ82="5",BJ82,0)</f>
        <v>0</v>
      </c>
      <c r="AB82" s="47">
        <f>IF(AQ82="1",BH82,0)</f>
        <v>0</v>
      </c>
      <c r="AC82" s="47">
        <f>IF(AQ82="1",BI82,0)</f>
        <v>0</v>
      </c>
      <c r="AD82" s="47">
        <f>IF(AQ82="7",BH82,0)</f>
        <v>0</v>
      </c>
      <c r="AE82" s="47">
        <f>IF(AQ82="7",BI82,0)</f>
        <v>0</v>
      </c>
      <c r="AF82" s="47">
        <f>IF(AQ82="2",BH82,0)</f>
        <v>0</v>
      </c>
      <c r="AG82" s="47">
        <f>IF(AQ82="2",BI82,0)</f>
        <v>0</v>
      </c>
      <c r="AH82" s="47">
        <f>IF(AQ82="0",BJ82,0)</f>
        <v>0</v>
      </c>
      <c r="AI82" s="30" t="s">
        <v>54</v>
      </c>
      <c r="AJ82" s="47">
        <f>IF(AN82=0,J82,0)</f>
        <v>0</v>
      </c>
      <c r="AK82" s="47">
        <f>IF(AN82=12,J82,0)</f>
        <v>0</v>
      </c>
      <c r="AL82" s="47">
        <f>IF(AN82=21,J82,0)</f>
        <v>0</v>
      </c>
      <c r="AN82" s="47">
        <v>21</v>
      </c>
      <c r="AO82" s="47">
        <f>G82*1</f>
        <v>0</v>
      </c>
      <c r="AP82" s="47">
        <f>G82*(1-1)</f>
        <v>0</v>
      </c>
      <c r="AQ82" s="49" t="s">
        <v>106</v>
      </c>
      <c r="AV82" s="47">
        <f>AW82+AX82</f>
        <v>0</v>
      </c>
      <c r="AW82" s="47">
        <f>F82*AO82</f>
        <v>0</v>
      </c>
      <c r="AX82" s="47">
        <f>F82*AP82</f>
        <v>0</v>
      </c>
      <c r="AY82" s="49" t="s">
        <v>199</v>
      </c>
      <c r="AZ82" s="49" t="s">
        <v>178</v>
      </c>
      <c r="BA82" s="30" t="s">
        <v>63</v>
      </c>
      <c r="BC82" s="47">
        <f>AW82+AX82</f>
        <v>0</v>
      </c>
      <c r="BD82" s="47">
        <f>G82/(100-BE82)*100</f>
        <v>0</v>
      </c>
      <c r="BE82" s="47">
        <v>0</v>
      </c>
      <c r="BF82" s="47">
        <f>82</f>
        <v>82</v>
      </c>
      <c r="BH82" s="47">
        <f>F82*AO82</f>
        <v>0</v>
      </c>
      <c r="BI82" s="47">
        <f>F82*AP82</f>
        <v>0</v>
      </c>
      <c r="BJ82" s="47">
        <f>F82*G82</f>
        <v>0</v>
      </c>
      <c r="BK82" s="47"/>
      <c r="BL82" s="47">
        <v>766</v>
      </c>
      <c r="BW82" s="47">
        <v>21</v>
      </c>
      <c r="BX82" s="50" t="s">
        <v>208</v>
      </c>
    </row>
    <row r="83" spans="1:76" ht="13.5" customHeight="1" x14ac:dyDescent="0.25">
      <c r="A83" s="60"/>
      <c r="C83" s="117" t="s">
        <v>204</v>
      </c>
      <c r="D83" s="118"/>
      <c r="E83" s="118"/>
      <c r="F83" s="118"/>
      <c r="G83" s="118"/>
      <c r="H83" s="118"/>
      <c r="I83" s="118"/>
      <c r="J83" s="118"/>
      <c r="K83" s="119"/>
    </row>
    <row r="84" spans="1:76" x14ac:dyDescent="0.25">
      <c r="A84" s="61"/>
      <c r="B84" s="62"/>
      <c r="C84" s="63" t="s">
        <v>55</v>
      </c>
      <c r="D84" s="64" t="s">
        <v>209</v>
      </c>
      <c r="E84" s="62"/>
      <c r="F84" s="65">
        <v>1</v>
      </c>
      <c r="G84" s="62"/>
      <c r="H84" s="62"/>
      <c r="I84" s="62"/>
      <c r="J84" s="62"/>
      <c r="K84" s="66"/>
    </row>
    <row r="85" spans="1:76" x14ac:dyDescent="0.25">
      <c r="A85" s="60"/>
      <c r="B85" s="74" t="s">
        <v>90</v>
      </c>
      <c r="C85" s="117" t="s">
        <v>210</v>
      </c>
      <c r="D85" s="118"/>
      <c r="E85" s="118"/>
      <c r="F85" s="118"/>
      <c r="G85" s="118"/>
      <c r="H85" s="118"/>
      <c r="I85" s="118"/>
      <c r="J85" s="118"/>
      <c r="K85" s="119"/>
      <c r="BX85" s="75" t="s">
        <v>210</v>
      </c>
    </row>
    <row r="86" spans="1:76" x14ac:dyDescent="0.25">
      <c r="A86" s="56" t="s">
        <v>50</v>
      </c>
      <c r="B86" s="95" t="s">
        <v>211</v>
      </c>
      <c r="C86" s="141" t="s">
        <v>212</v>
      </c>
      <c r="D86" s="142"/>
      <c r="E86" s="57" t="s">
        <v>4</v>
      </c>
      <c r="F86" s="57" t="s">
        <v>4</v>
      </c>
      <c r="G86" s="57" t="s">
        <v>4</v>
      </c>
      <c r="H86" s="96">
        <f>SUM(H87:H100)</f>
        <v>0</v>
      </c>
      <c r="I86" s="96">
        <f>SUM(I87:I100)</f>
        <v>0</v>
      </c>
      <c r="J86" s="96">
        <f>SUM(J87:J100)</f>
        <v>0</v>
      </c>
      <c r="K86" s="97" t="s">
        <v>50</v>
      </c>
      <c r="AI86" s="30" t="s">
        <v>54</v>
      </c>
      <c r="AS86" s="24">
        <f>SUM(AJ87:AJ100)</f>
        <v>0</v>
      </c>
      <c r="AT86" s="24">
        <f>SUM(AK87:AK100)</f>
        <v>0</v>
      </c>
      <c r="AU86" s="24">
        <f>SUM(AL87:AL100)</f>
        <v>0</v>
      </c>
    </row>
    <row r="87" spans="1:76" x14ac:dyDescent="0.25">
      <c r="A87" s="67" t="s">
        <v>213</v>
      </c>
      <c r="B87" s="68" t="s">
        <v>214</v>
      </c>
      <c r="C87" s="135" t="s">
        <v>215</v>
      </c>
      <c r="D87" s="136"/>
      <c r="E87" s="68" t="s">
        <v>216</v>
      </c>
      <c r="F87" s="69">
        <v>264.10000000000002</v>
      </c>
      <c r="G87" s="69">
        <v>0</v>
      </c>
      <c r="H87" s="69">
        <f>F87*AO87</f>
        <v>0</v>
      </c>
      <c r="I87" s="69">
        <f>F87*AP87</f>
        <v>0</v>
      </c>
      <c r="J87" s="69">
        <f>F87*G87</f>
        <v>0</v>
      </c>
      <c r="K87" s="70" t="s">
        <v>69</v>
      </c>
      <c r="Z87" s="47">
        <f>IF(AQ87="5",BJ87,0)</f>
        <v>0</v>
      </c>
      <c r="AB87" s="47">
        <f>IF(AQ87="1",BH87,0)</f>
        <v>0</v>
      </c>
      <c r="AC87" s="47">
        <f>IF(AQ87="1",BI87,0)</f>
        <v>0</v>
      </c>
      <c r="AD87" s="47">
        <f>IF(AQ87="7",BH87,0)</f>
        <v>0</v>
      </c>
      <c r="AE87" s="47">
        <f>IF(AQ87="7",BI87,0)</f>
        <v>0</v>
      </c>
      <c r="AF87" s="47">
        <f>IF(AQ87="2",BH87,0)</f>
        <v>0</v>
      </c>
      <c r="AG87" s="47">
        <f>IF(AQ87="2",BI87,0)</f>
        <v>0</v>
      </c>
      <c r="AH87" s="47">
        <f>IF(AQ87="0",BJ87,0)</f>
        <v>0</v>
      </c>
      <c r="AI87" s="30" t="s">
        <v>54</v>
      </c>
      <c r="AJ87" s="47">
        <f>IF(AN87=0,J87,0)</f>
        <v>0</v>
      </c>
      <c r="AK87" s="47">
        <f>IF(AN87=12,J87,0)</f>
        <v>0</v>
      </c>
      <c r="AL87" s="47">
        <f>IF(AN87=21,J87,0)</f>
        <v>0</v>
      </c>
      <c r="AN87" s="47">
        <v>21</v>
      </c>
      <c r="AO87" s="47">
        <f>G87*0.081833333</f>
        <v>0</v>
      </c>
      <c r="AP87" s="47">
        <f>G87*(1-0.081833333)</f>
        <v>0</v>
      </c>
      <c r="AQ87" s="49" t="s">
        <v>106</v>
      </c>
      <c r="AV87" s="47">
        <f>AW87+AX87</f>
        <v>0</v>
      </c>
      <c r="AW87" s="47">
        <f>F87*AO87</f>
        <v>0</v>
      </c>
      <c r="AX87" s="47">
        <f>F87*AP87</f>
        <v>0</v>
      </c>
      <c r="AY87" s="49" t="s">
        <v>217</v>
      </c>
      <c r="AZ87" s="49" t="s">
        <v>178</v>
      </c>
      <c r="BA87" s="30" t="s">
        <v>63</v>
      </c>
      <c r="BC87" s="47">
        <f>AW87+AX87</f>
        <v>0</v>
      </c>
      <c r="BD87" s="47">
        <f>G87/(100-BE87)*100</f>
        <v>0</v>
      </c>
      <c r="BE87" s="47">
        <v>0</v>
      </c>
      <c r="BF87" s="47">
        <f>87</f>
        <v>87</v>
      </c>
      <c r="BH87" s="47">
        <f>F87*AO87</f>
        <v>0</v>
      </c>
      <c r="BI87" s="47">
        <f>F87*AP87</f>
        <v>0</v>
      </c>
      <c r="BJ87" s="47">
        <f>F87*G87</f>
        <v>0</v>
      </c>
      <c r="BK87" s="47"/>
      <c r="BL87" s="47">
        <v>767</v>
      </c>
      <c r="BW87" s="47">
        <v>21</v>
      </c>
      <c r="BX87" s="50" t="s">
        <v>215</v>
      </c>
    </row>
    <row r="88" spans="1:76" ht="13.5" customHeight="1" x14ac:dyDescent="0.25">
      <c r="A88" s="60"/>
      <c r="C88" s="117" t="s">
        <v>218</v>
      </c>
      <c r="D88" s="118"/>
      <c r="E88" s="118"/>
      <c r="F88" s="118"/>
      <c r="G88" s="118"/>
      <c r="H88" s="118"/>
      <c r="I88" s="118"/>
      <c r="J88" s="118"/>
      <c r="K88" s="119"/>
    </row>
    <row r="89" spans="1:76" x14ac:dyDescent="0.25">
      <c r="A89" s="61"/>
      <c r="B89" s="62"/>
      <c r="C89" s="63" t="s">
        <v>219</v>
      </c>
      <c r="D89" s="64" t="s">
        <v>220</v>
      </c>
      <c r="E89" s="62"/>
      <c r="F89" s="65">
        <v>264.10000000000002</v>
      </c>
      <c r="G89" s="62"/>
      <c r="H89" s="62"/>
      <c r="I89" s="62"/>
      <c r="J89" s="62"/>
      <c r="K89" s="66"/>
    </row>
    <row r="90" spans="1:76" x14ac:dyDescent="0.25">
      <c r="A90" s="98" t="s">
        <v>221</v>
      </c>
      <c r="B90" s="99" t="s">
        <v>222</v>
      </c>
      <c r="C90" s="120" t="s">
        <v>223</v>
      </c>
      <c r="D90" s="121"/>
      <c r="E90" s="99" t="s">
        <v>198</v>
      </c>
      <c r="F90" s="100">
        <v>633.84</v>
      </c>
      <c r="G90" s="100">
        <v>0</v>
      </c>
      <c r="H90" s="100">
        <f>F90*AO90</f>
        <v>0</v>
      </c>
      <c r="I90" s="100">
        <f>F90*AP90</f>
        <v>0</v>
      </c>
      <c r="J90" s="100">
        <f>F90*G90</f>
        <v>0</v>
      </c>
      <c r="K90" s="101" t="s">
        <v>69</v>
      </c>
      <c r="Z90" s="47">
        <f>IF(AQ90="5",BJ90,0)</f>
        <v>0</v>
      </c>
      <c r="AB90" s="47">
        <f>IF(AQ90="1",BH90,0)</f>
        <v>0</v>
      </c>
      <c r="AC90" s="47">
        <f>IF(AQ90="1",BI90,0)</f>
        <v>0</v>
      </c>
      <c r="AD90" s="47">
        <f>IF(AQ90="7",BH90,0)</f>
        <v>0</v>
      </c>
      <c r="AE90" s="47">
        <f>IF(AQ90="7",BI90,0)</f>
        <v>0</v>
      </c>
      <c r="AF90" s="47">
        <f>IF(AQ90="2",BH90,0)</f>
        <v>0</v>
      </c>
      <c r="AG90" s="47">
        <f>IF(AQ90="2",BI90,0)</f>
        <v>0</v>
      </c>
      <c r="AH90" s="47">
        <f>IF(AQ90="0",BJ90,0)</f>
        <v>0</v>
      </c>
      <c r="AI90" s="30" t="s">
        <v>54</v>
      </c>
      <c r="AJ90" s="47">
        <f>IF(AN90=0,J90,0)</f>
        <v>0</v>
      </c>
      <c r="AK90" s="47">
        <f>IF(AN90=12,J90,0)</f>
        <v>0</v>
      </c>
      <c r="AL90" s="47">
        <f>IF(AN90=21,J90,0)</f>
        <v>0</v>
      </c>
      <c r="AN90" s="47">
        <v>21</v>
      </c>
      <c r="AO90" s="47">
        <f>G90*0</f>
        <v>0</v>
      </c>
      <c r="AP90" s="47">
        <f>G90*(1-0)</f>
        <v>0</v>
      </c>
      <c r="AQ90" s="49" t="s">
        <v>92</v>
      </c>
      <c r="AV90" s="47">
        <f>AW90+AX90</f>
        <v>0</v>
      </c>
      <c r="AW90" s="47">
        <f>F90*AO90</f>
        <v>0</v>
      </c>
      <c r="AX90" s="47">
        <f>F90*AP90</f>
        <v>0</v>
      </c>
      <c r="AY90" s="49" t="s">
        <v>217</v>
      </c>
      <c r="AZ90" s="49" t="s">
        <v>178</v>
      </c>
      <c r="BA90" s="30" t="s">
        <v>63</v>
      </c>
      <c r="BC90" s="47">
        <f>AW90+AX90</f>
        <v>0</v>
      </c>
      <c r="BD90" s="47">
        <f>G90/(100-BE90)*100</f>
        <v>0</v>
      </c>
      <c r="BE90" s="47">
        <v>0</v>
      </c>
      <c r="BF90" s="47">
        <f>90</f>
        <v>90</v>
      </c>
      <c r="BH90" s="47">
        <f>F90*AO90</f>
        <v>0</v>
      </c>
      <c r="BI90" s="47">
        <f>F90*AP90</f>
        <v>0</v>
      </c>
      <c r="BJ90" s="47">
        <f>F90*G90</f>
        <v>0</v>
      </c>
      <c r="BK90" s="47"/>
      <c r="BL90" s="47">
        <v>767</v>
      </c>
      <c r="BW90" s="47">
        <v>21</v>
      </c>
      <c r="BX90" s="50" t="s">
        <v>223</v>
      </c>
    </row>
    <row r="91" spans="1:76" x14ac:dyDescent="0.25">
      <c r="A91" s="102"/>
      <c r="C91" s="103" t="s">
        <v>224</v>
      </c>
      <c r="D91" s="104" t="s">
        <v>50</v>
      </c>
      <c r="F91" s="105">
        <v>633.84</v>
      </c>
      <c r="K91" s="106"/>
    </row>
    <row r="92" spans="1:76" x14ac:dyDescent="0.25">
      <c r="A92" s="56" t="s">
        <v>225</v>
      </c>
      <c r="B92" s="57" t="s">
        <v>226</v>
      </c>
      <c r="C92" s="133" t="s">
        <v>227</v>
      </c>
      <c r="D92" s="134"/>
      <c r="E92" s="57" t="s">
        <v>77</v>
      </c>
      <c r="F92" s="58">
        <v>195.89</v>
      </c>
      <c r="G92" s="58">
        <v>0</v>
      </c>
      <c r="H92" s="58">
        <f>F92*AO92</f>
        <v>0</v>
      </c>
      <c r="I92" s="58">
        <f>F92*AP92</f>
        <v>0</v>
      </c>
      <c r="J92" s="58">
        <f>F92*G92</f>
        <v>0</v>
      </c>
      <c r="K92" s="59" t="s">
        <v>69</v>
      </c>
      <c r="Z92" s="47">
        <f>IF(AQ92="5",BJ92,0)</f>
        <v>0</v>
      </c>
      <c r="AB92" s="47">
        <f>IF(AQ92="1",BH92,0)</f>
        <v>0</v>
      </c>
      <c r="AC92" s="47">
        <f>IF(AQ92="1",BI92,0)</f>
        <v>0</v>
      </c>
      <c r="AD92" s="47">
        <f>IF(AQ92="7",BH92,0)</f>
        <v>0</v>
      </c>
      <c r="AE92" s="47">
        <f>IF(AQ92="7",BI92,0)</f>
        <v>0</v>
      </c>
      <c r="AF92" s="47">
        <f>IF(AQ92="2",BH92,0)</f>
        <v>0</v>
      </c>
      <c r="AG92" s="47">
        <f>IF(AQ92="2",BI92,0)</f>
        <v>0</v>
      </c>
      <c r="AH92" s="47">
        <f>IF(AQ92="0",BJ92,0)</f>
        <v>0</v>
      </c>
      <c r="AI92" s="30" t="s">
        <v>54</v>
      </c>
      <c r="AJ92" s="47">
        <f>IF(AN92=0,J92,0)</f>
        <v>0</v>
      </c>
      <c r="AK92" s="47">
        <f>IF(AN92=12,J92,0)</f>
        <v>0</v>
      </c>
      <c r="AL92" s="47">
        <f>IF(AN92=21,J92,0)</f>
        <v>0</v>
      </c>
      <c r="AN92" s="47">
        <v>21</v>
      </c>
      <c r="AO92" s="47">
        <f>G92*0</f>
        <v>0</v>
      </c>
      <c r="AP92" s="47">
        <f>G92*(1-0)</f>
        <v>0</v>
      </c>
      <c r="AQ92" s="49" t="s">
        <v>106</v>
      </c>
      <c r="AV92" s="47">
        <f>AW92+AX92</f>
        <v>0</v>
      </c>
      <c r="AW92" s="47">
        <f>F92*AO92</f>
        <v>0</v>
      </c>
      <c r="AX92" s="47">
        <f>F92*AP92</f>
        <v>0</v>
      </c>
      <c r="AY92" s="49" t="s">
        <v>217</v>
      </c>
      <c r="AZ92" s="49" t="s">
        <v>178</v>
      </c>
      <c r="BA92" s="30" t="s">
        <v>63</v>
      </c>
      <c r="BC92" s="47">
        <f>AW92+AX92</f>
        <v>0</v>
      </c>
      <c r="BD92" s="47">
        <f>G92/(100-BE92)*100</f>
        <v>0</v>
      </c>
      <c r="BE92" s="47">
        <v>0</v>
      </c>
      <c r="BF92" s="47">
        <f>92</f>
        <v>92</v>
      </c>
      <c r="BH92" s="47">
        <f>F92*AO92</f>
        <v>0</v>
      </c>
      <c r="BI92" s="47">
        <f>F92*AP92</f>
        <v>0</v>
      </c>
      <c r="BJ92" s="47">
        <f>F92*G92</f>
        <v>0</v>
      </c>
      <c r="BK92" s="47"/>
      <c r="BL92" s="47">
        <v>767</v>
      </c>
      <c r="BW92" s="47">
        <v>21</v>
      </c>
      <c r="BX92" s="50" t="s">
        <v>227</v>
      </c>
    </row>
    <row r="93" spans="1:76" ht="13.5" customHeight="1" x14ac:dyDescent="0.25">
      <c r="A93" s="60"/>
      <c r="C93" s="117" t="s">
        <v>228</v>
      </c>
      <c r="D93" s="118"/>
      <c r="E93" s="118"/>
      <c r="F93" s="118"/>
      <c r="G93" s="118"/>
      <c r="H93" s="118"/>
      <c r="I93" s="118"/>
      <c r="J93" s="118"/>
      <c r="K93" s="119"/>
    </row>
    <row r="94" spans="1:76" x14ac:dyDescent="0.25">
      <c r="A94" s="61"/>
      <c r="B94" s="62"/>
      <c r="C94" s="63" t="s">
        <v>170</v>
      </c>
      <c r="D94" s="64" t="s">
        <v>171</v>
      </c>
      <c r="E94" s="62"/>
      <c r="F94" s="65">
        <v>195.89</v>
      </c>
      <c r="G94" s="62"/>
      <c r="H94" s="62"/>
      <c r="I94" s="62"/>
      <c r="J94" s="62"/>
      <c r="K94" s="66"/>
    </row>
    <row r="95" spans="1:76" x14ac:dyDescent="0.25">
      <c r="A95" s="67" t="s">
        <v>229</v>
      </c>
      <c r="B95" s="68" t="s">
        <v>230</v>
      </c>
      <c r="C95" s="135" t="s">
        <v>231</v>
      </c>
      <c r="D95" s="136"/>
      <c r="E95" s="68" t="s">
        <v>77</v>
      </c>
      <c r="F95" s="69">
        <v>195.89</v>
      </c>
      <c r="G95" s="69">
        <v>0</v>
      </c>
      <c r="H95" s="69">
        <f>F95*AO95</f>
        <v>0</v>
      </c>
      <c r="I95" s="69">
        <f>F95*AP95</f>
        <v>0</v>
      </c>
      <c r="J95" s="69">
        <f>F95*G95</f>
        <v>0</v>
      </c>
      <c r="K95" s="70" t="s">
        <v>69</v>
      </c>
      <c r="Z95" s="47">
        <f>IF(AQ95="5",BJ95,0)</f>
        <v>0</v>
      </c>
      <c r="AB95" s="47">
        <f>IF(AQ95="1",BH95,0)</f>
        <v>0</v>
      </c>
      <c r="AC95" s="47">
        <f>IF(AQ95="1",BI95,0)</f>
        <v>0</v>
      </c>
      <c r="AD95" s="47">
        <f>IF(AQ95="7",BH95,0)</f>
        <v>0</v>
      </c>
      <c r="AE95" s="47">
        <f>IF(AQ95="7",BI95,0)</f>
        <v>0</v>
      </c>
      <c r="AF95" s="47">
        <f>IF(AQ95="2",BH95,0)</f>
        <v>0</v>
      </c>
      <c r="AG95" s="47">
        <f>IF(AQ95="2",BI95,0)</f>
        <v>0</v>
      </c>
      <c r="AH95" s="47">
        <f>IF(AQ95="0",BJ95,0)</f>
        <v>0</v>
      </c>
      <c r="AI95" s="30" t="s">
        <v>54</v>
      </c>
      <c r="AJ95" s="47">
        <f>IF(AN95=0,J95,0)</f>
        <v>0</v>
      </c>
      <c r="AK95" s="47">
        <f>IF(AN95=12,J95,0)</f>
        <v>0</v>
      </c>
      <c r="AL95" s="47">
        <f>IF(AN95=21,J95,0)</f>
        <v>0</v>
      </c>
      <c r="AN95" s="47">
        <v>21</v>
      </c>
      <c r="AO95" s="47">
        <f>G95*0</f>
        <v>0</v>
      </c>
      <c r="AP95" s="47">
        <f>G95*(1-0)</f>
        <v>0</v>
      </c>
      <c r="AQ95" s="49" t="s">
        <v>106</v>
      </c>
      <c r="AV95" s="47">
        <f>AW95+AX95</f>
        <v>0</v>
      </c>
      <c r="AW95" s="47">
        <f>F95*AO95</f>
        <v>0</v>
      </c>
      <c r="AX95" s="47">
        <f>F95*AP95</f>
        <v>0</v>
      </c>
      <c r="AY95" s="49" t="s">
        <v>217</v>
      </c>
      <c r="AZ95" s="49" t="s">
        <v>178</v>
      </c>
      <c r="BA95" s="30" t="s">
        <v>63</v>
      </c>
      <c r="BC95" s="47">
        <f>AW95+AX95</f>
        <v>0</v>
      </c>
      <c r="BD95" s="47">
        <f>G95/(100-BE95)*100</f>
        <v>0</v>
      </c>
      <c r="BE95" s="47">
        <v>0</v>
      </c>
      <c r="BF95" s="47">
        <f>95</f>
        <v>95</v>
      </c>
      <c r="BH95" s="47">
        <f>F95*AO95</f>
        <v>0</v>
      </c>
      <c r="BI95" s="47">
        <f>F95*AP95</f>
        <v>0</v>
      </c>
      <c r="BJ95" s="47">
        <f>F95*G95</f>
        <v>0</v>
      </c>
      <c r="BK95" s="47"/>
      <c r="BL95" s="47">
        <v>767</v>
      </c>
      <c r="BW95" s="47">
        <v>21</v>
      </c>
      <c r="BX95" s="50" t="s">
        <v>231</v>
      </c>
    </row>
    <row r="96" spans="1:76" x14ac:dyDescent="0.25">
      <c r="A96" s="83"/>
      <c r="B96" s="84"/>
      <c r="C96" s="85" t="s">
        <v>170</v>
      </c>
      <c r="D96" s="86" t="s">
        <v>171</v>
      </c>
      <c r="E96" s="84"/>
      <c r="F96" s="87">
        <v>195.89</v>
      </c>
      <c r="G96" s="84"/>
      <c r="H96" s="84"/>
      <c r="I96" s="84"/>
      <c r="J96" s="84"/>
      <c r="K96" s="88"/>
    </row>
    <row r="97" spans="1:76" x14ac:dyDescent="0.25">
      <c r="A97" s="67" t="s">
        <v>232</v>
      </c>
      <c r="B97" s="68" t="s">
        <v>233</v>
      </c>
      <c r="C97" s="135" t="s">
        <v>234</v>
      </c>
      <c r="D97" s="136"/>
      <c r="E97" s="68" t="s">
        <v>192</v>
      </c>
      <c r="F97" s="69">
        <v>46.4131</v>
      </c>
      <c r="G97" s="69">
        <v>0</v>
      </c>
      <c r="H97" s="69">
        <f>F97*AO97</f>
        <v>0</v>
      </c>
      <c r="I97" s="69">
        <f>F97*AP97</f>
        <v>0</v>
      </c>
      <c r="J97" s="69">
        <f>F97*G97</f>
        <v>0</v>
      </c>
      <c r="K97" s="70" t="s">
        <v>69</v>
      </c>
      <c r="Z97" s="47">
        <f>IF(AQ97="5",BJ97,0)</f>
        <v>0</v>
      </c>
      <c r="AB97" s="47">
        <f>IF(AQ97="1",BH97,0)</f>
        <v>0</v>
      </c>
      <c r="AC97" s="47">
        <f>IF(AQ97="1",BI97,0)</f>
        <v>0</v>
      </c>
      <c r="AD97" s="47">
        <f>IF(AQ97="7",BH97,0)</f>
        <v>0</v>
      </c>
      <c r="AE97" s="47">
        <f>IF(AQ97="7",BI97,0)</f>
        <v>0</v>
      </c>
      <c r="AF97" s="47">
        <f>IF(AQ97="2",BH97,0)</f>
        <v>0</v>
      </c>
      <c r="AG97" s="47">
        <f>IF(AQ97="2",BI97,0)</f>
        <v>0</v>
      </c>
      <c r="AH97" s="47">
        <f>IF(AQ97="0",BJ97,0)</f>
        <v>0</v>
      </c>
      <c r="AI97" s="30" t="s">
        <v>54</v>
      </c>
      <c r="AJ97" s="47">
        <f>IF(AN97=0,J97,0)</f>
        <v>0</v>
      </c>
      <c r="AK97" s="47">
        <f>IF(AN97=12,J97,0)</f>
        <v>0</v>
      </c>
      <c r="AL97" s="47">
        <f>IF(AN97=21,J97,0)</f>
        <v>0</v>
      </c>
      <c r="AN97" s="47">
        <v>21</v>
      </c>
      <c r="AO97" s="47">
        <f>G97*0</f>
        <v>0</v>
      </c>
      <c r="AP97" s="47">
        <f>G97*(1-0)</f>
        <v>0</v>
      </c>
      <c r="AQ97" s="49" t="s">
        <v>92</v>
      </c>
      <c r="AV97" s="47">
        <f>AW97+AX97</f>
        <v>0</v>
      </c>
      <c r="AW97" s="47">
        <f>F97*AO97</f>
        <v>0</v>
      </c>
      <c r="AX97" s="47">
        <f>F97*AP97</f>
        <v>0</v>
      </c>
      <c r="AY97" s="49" t="s">
        <v>217</v>
      </c>
      <c r="AZ97" s="49" t="s">
        <v>178</v>
      </c>
      <c r="BA97" s="30" t="s">
        <v>63</v>
      </c>
      <c r="BC97" s="47">
        <f>AW97+AX97</f>
        <v>0</v>
      </c>
      <c r="BD97" s="47">
        <f>G97/(100-BE97)*100</f>
        <v>0</v>
      </c>
      <c r="BE97" s="47">
        <v>0</v>
      </c>
      <c r="BF97" s="47">
        <f>97</f>
        <v>97</v>
      </c>
      <c r="BH97" s="47">
        <f>F97*AO97</f>
        <v>0</v>
      </c>
      <c r="BI97" s="47">
        <f>F97*AP97</f>
        <v>0</v>
      </c>
      <c r="BJ97" s="47">
        <f>F97*G97</f>
        <v>0</v>
      </c>
      <c r="BK97" s="47"/>
      <c r="BL97" s="47">
        <v>767</v>
      </c>
      <c r="BW97" s="47">
        <v>21</v>
      </c>
      <c r="BX97" s="50" t="s">
        <v>234</v>
      </c>
    </row>
    <row r="98" spans="1:76" ht="13.5" customHeight="1" x14ac:dyDescent="0.25">
      <c r="A98" s="60"/>
      <c r="C98" s="117" t="s">
        <v>235</v>
      </c>
      <c r="D98" s="118"/>
      <c r="E98" s="118"/>
      <c r="F98" s="118"/>
      <c r="G98" s="118"/>
      <c r="H98" s="118"/>
      <c r="I98" s="118"/>
      <c r="J98" s="118"/>
      <c r="K98" s="119"/>
    </row>
    <row r="99" spans="1:76" x14ac:dyDescent="0.25">
      <c r="A99" s="61"/>
      <c r="B99" s="62"/>
      <c r="C99" s="63" t="s">
        <v>236</v>
      </c>
      <c r="D99" s="64" t="s">
        <v>237</v>
      </c>
      <c r="E99" s="62"/>
      <c r="F99" s="65">
        <v>46.4131</v>
      </c>
      <c r="G99" s="62"/>
      <c r="H99" s="62"/>
      <c r="I99" s="62"/>
      <c r="J99" s="62"/>
      <c r="K99" s="66"/>
    </row>
    <row r="100" spans="1:76" x14ac:dyDescent="0.25">
      <c r="A100" s="67" t="s">
        <v>238</v>
      </c>
      <c r="B100" s="68" t="s">
        <v>239</v>
      </c>
      <c r="C100" s="135" t="s">
        <v>240</v>
      </c>
      <c r="D100" s="136"/>
      <c r="E100" s="68" t="s">
        <v>192</v>
      </c>
      <c r="F100" s="69">
        <v>4.6413099999999998</v>
      </c>
      <c r="G100" s="69">
        <v>0</v>
      </c>
      <c r="H100" s="69">
        <f>F100*AO100</f>
        <v>0</v>
      </c>
      <c r="I100" s="69">
        <f>F100*AP100</f>
        <v>0</v>
      </c>
      <c r="J100" s="69">
        <f>F100*G100</f>
        <v>0</v>
      </c>
      <c r="K100" s="70" t="s">
        <v>69</v>
      </c>
      <c r="Z100" s="47">
        <f>IF(AQ100="5",BJ100,0)</f>
        <v>0</v>
      </c>
      <c r="AB100" s="47">
        <f>IF(AQ100="1",BH100,0)</f>
        <v>0</v>
      </c>
      <c r="AC100" s="47">
        <f>IF(AQ100="1",BI100,0)</f>
        <v>0</v>
      </c>
      <c r="AD100" s="47">
        <f>IF(AQ100="7",BH100,0)</f>
        <v>0</v>
      </c>
      <c r="AE100" s="47">
        <f>IF(AQ100="7",BI100,0)</f>
        <v>0</v>
      </c>
      <c r="AF100" s="47">
        <f>IF(AQ100="2",BH100,0)</f>
        <v>0</v>
      </c>
      <c r="AG100" s="47">
        <f>IF(AQ100="2",BI100,0)</f>
        <v>0</v>
      </c>
      <c r="AH100" s="47">
        <f>IF(AQ100="0",BJ100,0)</f>
        <v>0</v>
      </c>
      <c r="AI100" s="30" t="s">
        <v>54</v>
      </c>
      <c r="AJ100" s="47">
        <f>IF(AN100=0,J100,0)</f>
        <v>0</v>
      </c>
      <c r="AK100" s="47">
        <f>IF(AN100=12,J100,0)</f>
        <v>0</v>
      </c>
      <c r="AL100" s="47">
        <f>IF(AN100=21,J100,0)</f>
        <v>0</v>
      </c>
      <c r="AN100" s="47">
        <v>21</v>
      </c>
      <c r="AO100" s="47">
        <f>G100*0</f>
        <v>0</v>
      </c>
      <c r="AP100" s="47">
        <f>G100*(1-0)</f>
        <v>0</v>
      </c>
      <c r="AQ100" s="49" t="s">
        <v>92</v>
      </c>
      <c r="AV100" s="47">
        <f>AW100+AX100</f>
        <v>0</v>
      </c>
      <c r="AW100" s="47">
        <f>F100*AO100</f>
        <v>0</v>
      </c>
      <c r="AX100" s="47">
        <f>F100*AP100</f>
        <v>0</v>
      </c>
      <c r="AY100" s="49" t="s">
        <v>217</v>
      </c>
      <c r="AZ100" s="49" t="s">
        <v>178</v>
      </c>
      <c r="BA100" s="30" t="s">
        <v>63</v>
      </c>
      <c r="BC100" s="47">
        <f>AW100+AX100</f>
        <v>0</v>
      </c>
      <c r="BD100" s="47">
        <f>G100/(100-BE100)*100</f>
        <v>0</v>
      </c>
      <c r="BE100" s="47">
        <v>0</v>
      </c>
      <c r="BF100" s="47">
        <f>100</f>
        <v>100</v>
      </c>
      <c r="BH100" s="47">
        <f>F100*AO100</f>
        <v>0</v>
      </c>
      <c r="BI100" s="47">
        <f>F100*AP100</f>
        <v>0</v>
      </c>
      <c r="BJ100" s="47">
        <f>F100*G100</f>
        <v>0</v>
      </c>
      <c r="BK100" s="47"/>
      <c r="BL100" s="47">
        <v>767</v>
      </c>
      <c r="BW100" s="47">
        <v>21</v>
      </c>
      <c r="BX100" s="50" t="s">
        <v>240</v>
      </c>
    </row>
    <row r="101" spans="1:76" x14ac:dyDescent="0.25">
      <c r="A101" s="83"/>
      <c r="B101" s="84"/>
      <c r="C101" s="85" t="s">
        <v>241</v>
      </c>
      <c r="D101" s="86" t="s">
        <v>50</v>
      </c>
      <c r="E101" s="84"/>
      <c r="F101" s="87">
        <v>4.6413099999999998</v>
      </c>
      <c r="G101" s="84"/>
      <c r="H101" s="84"/>
      <c r="I101" s="84"/>
      <c r="J101" s="84"/>
      <c r="K101" s="88"/>
    </row>
    <row r="102" spans="1:76" x14ac:dyDescent="0.25">
      <c r="A102" s="67" t="s">
        <v>50</v>
      </c>
      <c r="B102" s="71" t="s">
        <v>242</v>
      </c>
      <c r="C102" s="139" t="s">
        <v>243</v>
      </c>
      <c r="D102" s="140"/>
      <c r="E102" s="68" t="s">
        <v>4</v>
      </c>
      <c r="F102" s="68" t="s">
        <v>4</v>
      </c>
      <c r="G102" s="68" t="s">
        <v>4</v>
      </c>
      <c r="H102" s="72">
        <f>SUM(H103:H105)</f>
        <v>0</v>
      </c>
      <c r="I102" s="72">
        <f>SUM(I103:I105)</f>
        <v>0</v>
      </c>
      <c r="J102" s="72">
        <f>SUM(J103:J105)</f>
        <v>0</v>
      </c>
      <c r="K102" s="73" t="s">
        <v>50</v>
      </c>
      <c r="AI102" s="30" t="s">
        <v>54</v>
      </c>
      <c r="AS102" s="24">
        <f>SUM(AJ103:AJ105)</f>
        <v>0</v>
      </c>
      <c r="AT102" s="24">
        <f>SUM(AK103:AK105)</f>
        <v>0</v>
      </c>
      <c r="AU102" s="24">
        <f>SUM(AL103:AL105)</f>
        <v>0</v>
      </c>
    </row>
    <row r="103" spans="1:76" x14ac:dyDescent="0.25">
      <c r="A103" s="67" t="s">
        <v>244</v>
      </c>
      <c r="B103" s="68" t="s">
        <v>245</v>
      </c>
      <c r="C103" s="135" t="s">
        <v>246</v>
      </c>
      <c r="D103" s="136"/>
      <c r="E103" s="68" t="s">
        <v>77</v>
      </c>
      <c r="F103" s="69">
        <v>201.48570000000001</v>
      </c>
      <c r="G103" s="69">
        <v>0</v>
      </c>
      <c r="H103" s="69">
        <f>F103*AO103</f>
        <v>0</v>
      </c>
      <c r="I103" s="69">
        <f>F103*AP103</f>
        <v>0</v>
      </c>
      <c r="J103" s="69">
        <f>F103*G103</f>
        <v>0</v>
      </c>
      <c r="K103" s="70" t="s">
        <v>69</v>
      </c>
      <c r="Z103" s="47">
        <f>IF(AQ103="5",BJ103,0)</f>
        <v>0</v>
      </c>
      <c r="AB103" s="47">
        <f>IF(AQ103="1",BH103,0)</f>
        <v>0</v>
      </c>
      <c r="AC103" s="47">
        <f>IF(AQ103="1",BI103,0)</f>
        <v>0</v>
      </c>
      <c r="AD103" s="47">
        <f>IF(AQ103="7",BH103,0)</f>
        <v>0</v>
      </c>
      <c r="AE103" s="47">
        <f>IF(AQ103="7",BI103,0)</f>
        <v>0</v>
      </c>
      <c r="AF103" s="47">
        <f>IF(AQ103="2",BH103,0)</f>
        <v>0</v>
      </c>
      <c r="AG103" s="47">
        <f>IF(AQ103="2",BI103,0)</f>
        <v>0</v>
      </c>
      <c r="AH103" s="47">
        <f>IF(AQ103="0",BJ103,0)</f>
        <v>0</v>
      </c>
      <c r="AI103" s="30" t="s">
        <v>54</v>
      </c>
      <c r="AJ103" s="47">
        <f>IF(AN103=0,J103,0)</f>
        <v>0</v>
      </c>
      <c r="AK103" s="47">
        <f>IF(AN103=12,J103,0)</f>
        <v>0</v>
      </c>
      <c r="AL103" s="47">
        <f>IF(AN103=21,J103,0)</f>
        <v>0</v>
      </c>
      <c r="AN103" s="47">
        <v>21</v>
      </c>
      <c r="AO103" s="47">
        <f>G103*0.059652427</f>
        <v>0</v>
      </c>
      <c r="AP103" s="47">
        <f>G103*(1-0.059652427)</f>
        <v>0</v>
      </c>
      <c r="AQ103" s="49" t="s">
        <v>106</v>
      </c>
      <c r="AV103" s="47">
        <f>AW103+AX103</f>
        <v>0</v>
      </c>
      <c r="AW103" s="47">
        <f>F103*AO103</f>
        <v>0</v>
      </c>
      <c r="AX103" s="47">
        <f>F103*AP103</f>
        <v>0</v>
      </c>
      <c r="AY103" s="49" t="s">
        <v>247</v>
      </c>
      <c r="AZ103" s="49" t="s">
        <v>248</v>
      </c>
      <c r="BA103" s="30" t="s">
        <v>63</v>
      </c>
      <c r="BC103" s="47">
        <f>AW103+AX103</f>
        <v>0</v>
      </c>
      <c r="BD103" s="47">
        <f>G103/(100-BE103)*100</f>
        <v>0</v>
      </c>
      <c r="BE103" s="47">
        <v>0</v>
      </c>
      <c r="BF103" s="47">
        <f>103</f>
        <v>103</v>
      </c>
      <c r="BH103" s="47">
        <f>F103*AO103</f>
        <v>0</v>
      </c>
      <c r="BI103" s="47">
        <f>F103*AP103</f>
        <v>0</v>
      </c>
      <c r="BJ103" s="47">
        <f>F103*G103</f>
        <v>0</v>
      </c>
      <c r="BK103" s="47"/>
      <c r="BL103" s="47">
        <v>783</v>
      </c>
      <c r="BW103" s="47">
        <v>21</v>
      </c>
      <c r="BX103" s="50" t="s">
        <v>246</v>
      </c>
    </row>
    <row r="104" spans="1:76" x14ac:dyDescent="0.25">
      <c r="A104" s="83"/>
      <c r="B104" s="84"/>
      <c r="C104" s="85" t="s">
        <v>249</v>
      </c>
      <c r="D104" s="86" t="s">
        <v>250</v>
      </c>
      <c r="E104" s="84"/>
      <c r="F104" s="87">
        <v>201.48570000000001</v>
      </c>
      <c r="G104" s="84"/>
      <c r="H104" s="84"/>
      <c r="I104" s="84"/>
      <c r="J104" s="84"/>
      <c r="K104" s="88"/>
    </row>
    <row r="105" spans="1:76" x14ac:dyDescent="0.25">
      <c r="A105" s="67" t="s">
        <v>251</v>
      </c>
      <c r="B105" s="68" t="s">
        <v>252</v>
      </c>
      <c r="C105" s="135" t="s">
        <v>253</v>
      </c>
      <c r="D105" s="136"/>
      <c r="E105" s="68" t="s">
        <v>77</v>
      </c>
      <c r="F105" s="69">
        <v>217.97069999999999</v>
      </c>
      <c r="G105" s="69">
        <v>0</v>
      </c>
      <c r="H105" s="69">
        <f>F105*AO105</f>
        <v>0</v>
      </c>
      <c r="I105" s="69">
        <f>F105*AP105</f>
        <v>0</v>
      </c>
      <c r="J105" s="69">
        <f>F105*G105</f>
        <v>0</v>
      </c>
      <c r="K105" s="70" t="s">
        <v>69</v>
      </c>
      <c r="Z105" s="47">
        <f>IF(AQ105="5",BJ105,0)</f>
        <v>0</v>
      </c>
      <c r="AB105" s="47">
        <f>IF(AQ105="1",BH105,0)</f>
        <v>0</v>
      </c>
      <c r="AC105" s="47">
        <f>IF(AQ105="1",BI105,0)</f>
        <v>0</v>
      </c>
      <c r="AD105" s="47">
        <f>IF(AQ105="7",BH105,0)</f>
        <v>0</v>
      </c>
      <c r="AE105" s="47">
        <f>IF(AQ105="7",BI105,0)</f>
        <v>0</v>
      </c>
      <c r="AF105" s="47">
        <f>IF(AQ105="2",BH105,0)</f>
        <v>0</v>
      </c>
      <c r="AG105" s="47">
        <f>IF(AQ105="2",BI105,0)</f>
        <v>0</v>
      </c>
      <c r="AH105" s="47">
        <f>IF(AQ105="0",BJ105,0)</f>
        <v>0</v>
      </c>
      <c r="AI105" s="30" t="s">
        <v>54</v>
      </c>
      <c r="AJ105" s="47">
        <f>IF(AN105=0,J105,0)</f>
        <v>0</v>
      </c>
      <c r="AK105" s="47">
        <f>IF(AN105=12,J105,0)</f>
        <v>0</v>
      </c>
      <c r="AL105" s="47">
        <f>IF(AN105=21,J105,0)</f>
        <v>0</v>
      </c>
      <c r="AN105" s="47">
        <v>21</v>
      </c>
      <c r="AO105" s="47">
        <f>G105*0.420290025</f>
        <v>0</v>
      </c>
      <c r="AP105" s="47">
        <f>G105*(1-0.420290025)</f>
        <v>0</v>
      </c>
      <c r="AQ105" s="49" t="s">
        <v>106</v>
      </c>
      <c r="AV105" s="47">
        <f>AW105+AX105</f>
        <v>0</v>
      </c>
      <c r="AW105" s="47">
        <f>F105*AO105</f>
        <v>0</v>
      </c>
      <c r="AX105" s="47">
        <f>F105*AP105</f>
        <v>0</v>
      </c>
      <c r="AY105" s="49" t="s">
        <v>247</v>
      </c>
      <c r="AZ105" s="49" t="s">
        <v>248</v>
      </c>
      <c r="BA105" s="30" t="s">
        <v>63</v>
      </c>
      <c r="BC105" s="47">
        <f>AW105+AX105</f>
        <v>0</v>
      </c>
      <c r="BD105" s="47">
        <f>G105/(100-BE105)*100</f>
        <v>0</v>
      </c>
      <c r="BE105" s="47">
        <v>0</v>
      </c>
      <c r="BF105" s="47">
        <f>105</f>
        <v>105</v>
      </c>
      <c r="BH105" s="47">
        <f>F105*AO105</f>
        <v>0</v>
      </c>
      <c r="BI105" s="47">
        <f>F105*AP105</f>
        <v>0</v>
      </c>
      <c r="BJ105" s="47">
        <f>F105*G105</f>
        <v>0</v>
      </c>
      <c r="BK105" s="47"/>
      <c r="BL105" s="47">
        <v>783</v>
      </c>
      <c r="BW105" s="47">
        <v>21</v>
      </c>
      <c r="BX105" s="50" t="s">
        <v>253</v>
      </c>
    </row>
    <row r="106" spans="1:76" ht="13.5" customHeight="1" x14ac:dyDescent="0.25">
      <c r="A106" s="60"/>
      <c r="C106" s="117" t="s">
        <v>254</v>
      </c>
      <c r="D106" s="118"/>
      <c r="E106" s="118"/>
      <c r="F106" s="118"/>
      <c r="G106" s="118"/>
      <c r="H106" s="118"/>
      <c r="I106" s="118"/>
      <c r="J106" s="118"/>
      <c r="K106" s="119"/>
    </row>
    <row r="107" spans="1:76" x14ac:dyDescent="0.25">
      <c r="A107" s="61"/>
      <c r="B107" s="62"/>
      <c r="C107" s="63" t="s">
        <v>255</v>
      </c>
      <c r="D107" s="64" t="s">
        <v>250</v>
      </c>
      <c r="E107" s="62"/>
      <c r="F107" s="65">
        <v>201.48570000000001</v>
      </c>
      <c r="G107" s="62"/>
      <c r="H107" s="62"/>
      <c r="I107" s="62"/>
      <c r="J107" s="62"/>
      <c r="K107" s="66"/>
    </row>
    <row r="108" spans="1:76" x14ac:dyDescent="0.25">
      <c r="A108" s="83"/>
      <c r="B108" s="84"/>
      <c r="C108" s="85" t="s">
        <v>256</v>
      </c>
      <c r="D108" s="86" t="s">
        <v>257</v>
      </c>
      <c r="E108" s="84"/>
      <c r="F108" s="87">
        <v>8.9489999999999998</v>
      </c>
      <c r="G108" s="84"/>
      <c r="H108" s="84"/>
      <c r="I108" s="84"/>
      <c r="J108" s="84"/>
      <c r="K108" s="88"/>
    </row>
    <row r="109" spans="1:76" x14ac:dyDescent="0.25">
      <c r="A109" s="83"/>
      <c r="B109" s="84"/>
      <c r="C109" s="85" t="s">
        <v>258</v>
      </c>
      <c r="D109" s="86" t="s">
        <v>257</v>
      </c>
      <c r="E109" s="84"/>
      <c r="F109" s="87">
        <v>7.5359999999999996</v>
      </c>
      <c r="G109" s="84"/>
      <c r="H109" s="84"/>
      <c r="I109" s="84"/>
      <c r="J109" s="84"/>
      <c r="K109" s="88"/>
    </row>
    <row r="110" spans="1:76" x14ac:dyDescent="0.25">
      <c r="A110" s="90" t="s">
        <v>50</v>
      </c>
      <c r="B110" s="91" t="s">
        <v>259</v>
      </c>
      <c r="C110" s="137" t="s">
        <v>260</v>
      </c>
      <c r="D110" s="138"/>
      <c r="E110" s="92" t="s">
        <v>4</v>
      </c>
      <c r="F110" s="92" t="s">
        <v>4</v>
      </c>
      <c r="G110" s="92" t="s">
        <v>4</v>
      </c>
      <c r="H110" s="93">
        <f>SUM(H111:H115)</f>
        <v>0</v>
      </c>
      <c r="I110" s="93">
        <f>SUM(I111:I115)</f>
        <v>0</v>
      </c>
      <c r="J110" s="93">
        <f>SUM(J111:J115)</f>
        <v>0</v>
      </c>
      <c r="K110" s="94" t="s">
        <v>50</v>
      </c>
      <c r="AI110" s="30" t="s">
        <v>54</v>
      </c>
      <c r="AS110" s="24">
        <f>SUM(AJ111:AJ115)</f>
        <v>0</v>
      </c>
      <c r="AT110" s="24">
        <f>SUM(AK111:AK115)</f>
        <v>0</v>
      </c>
      <c r="AU110" s="24">
        <f>SUM(AL111:AL115)</f>
        <v>0</v>
      </c>
    </row>
    <row r="111" spans="1:76" x14ac:dyDescent="0.25">
      <c r="A111" s="56" t="s">
        <v>64</v>
      </c>
      <c r="B111" s="57" t="s">
        <v>261</v>
      </c>
      <c r="C111" s="133" t="s">
        <v>262</v>
      </c>
      <c r="D111" s="134"/>
      <c r="E111" s="57" t="s">
        <v>77</v>
      </c>
      <c r="F111" s="58">
        <v>417.53250000000003</v>
      </c>
      <c r="G111" s="58">
        <v>0</v>
      </c>
      <c r="H111" s="58">
        <f>F111*AO111</f>
        <v>0</v>
      </c>
      <c r="I111" s="58">
        <f>F111*AP111</f>
        <v>0</v>
      </c>
      <c r="J111" s="58">
        <f>F111*G111</f>
        <v>0</v>
      </c>
      <c r="K111" s="59" t="s">
        <v>69</v>
      </c>
      <c r="Z111" s="47">
        <f>IF(AQ111="5",BJ111,0)</f>
        <v>0</v>
      </c>
      <c r="AB111" s="47">
        <f>IF(AQ111="1",BH111,0)</f>
        <v>0</v>
      </c>
      <c r="AC111" s="47">
        <f>IF(AQ111="1",BI111,0)</f>
        <v>0</v>
      </c>
      <c r="AD111" s="47">
        <f>IF(AQ111="7",BH111,0)</f>
        <v>0</v>
      </c>
      <c r="AE111" s="47">
        <f>IF(AQ111="7",BI111,0)</f>
        <v>0</v>
      </c>
      <c r="AF111" s="47">
        <f>IF(AQ111="2",BH111,0)</f>
        <v>0</v>
      </c>
      <c r="AG111" s="47">
        <f>IF(AQ111="2",BI111,0)</f>
        <v>0</v>
      </c>
      <c r="AH111" s="47">
        <f>IF(AQ111="0",BJ111,0)</f>
        <v>0</v>
      </c>
      <c r="AI111" s="30" t="s">
        <v>54</v>
      </c>
      <c r="AJ111" s="47">
        <f>IF(AN111=0,J111,0)</f>
        <v>0</v>
      </c>
      <c r="AK111" s="47">
        <f>IF(AN111=12,J111,0)</f>
        <v>0</v>
      </c>
      <c r="AL111" s="47">
        <f>IF(AN111=21,J111,0)</f>
        <v>0</v>
      </c>
      <c r="AN111" s="47">
        <v>21</v>
      </c>
      <c r="AO111" s="47">
        <f>G111*0.289961437</f>
        <v>0</v>
      </c>
      <c r="AP111" s="47">
        <f>G111*(1-0.289961437)</f>
        <v>0</v>
      </c>
      <c r="AQ111" s="49" t="s">
        <v>106</v>
      </c>
      <c r="AV111" s="47">
        <f>AW111+AX111</f>
        <v>0</v>
      </c>
      <c r="AW111" s="47">
        <f>F111*AO111</f>
        <v>0</v>
      </c>
      <c r="AX111" s="47">
        <f>F111*AP111</f>
        <v>0</v>
      </c>
      <c r="AY111" s="49" t="s">
        <v>263</v>
      </c>
      <c r="AZ111" s="49" t="s">
        <v>248</v>
      </c>
      <c r="BA111" s="30" t="s">
        <v>63</v>
      </c>
      <c r="BC111" s="47">
        <f>AW111+AX111</f>
        <v>0</v>
      </c>
      <c r="BD111" s="47">
        <f>G111/(100-BE111)*100</f>
        <v>0</v>
      </c>
      <c r="BE111" s="47">
        <v>0</v>
      </c>
      <c r="BF111" s="47">
        <f>111</f>
        <v>111</v>
      </c>
      <c r="BH111" s="47">
        <f>F111*AO111</f>
        <v>0</v>
      </c>
      <c r="BI111" s="47">
        <f>F111*AP111</f>
        <v>0</v>
      </c>
      <c r="BJ111" s="47">
        <f>F111*G111</f>
        <v>0</v>
      </c>
      <c r="BK111" s="47"/>
      <c r="BL111" s="47">
        <v>784</v>
      </c>
      <c r="BW111" s="47">
        <v>21</v>
      </c>
      <c r="BX111" s="50" t="s">
        <v>262</v>
      </c>
    </row>
    <row r="112" spans="1:76" ht="13.5" customHeight="1" x14ac:dyDescent="0.25">
      <c r="A112" s="60"/>
      <c r="C112" s="117" t="s">
        <v>264</v>
      </c>
      <c r="D112" s="118"/>
      <c r="E112" s="118"/>
      <c r="F112" s="118"/>
      <c r="G112" s="118"/>
      <c r="H112" s="118"/>
      <c r="I112" s="118"/>
      <c r="J112" s="118"/>
      <c r="K112" s="119"/>
    </row>
    <row r="113" spans="1:76" x14ac:dyDescent="0.25">
      <c r="A113" s="61"/>
      <c r="B113" s="62"/>
      <c r="C113" s="63" t="s">
        <v>265</v>
      </c>
      <c r="D113" s="64" t="s">
        <v>266</v>
      </c>
      <c r="E113" s="62"/>
      <c r="F113" s="65">
        <v>579.529</v>
      </c>
      <c r="G113" s="62"/>
      <c r="H113" s="62"/>
      <c r="I113" s="62"/>
      <c r="J113" s="62"/>
      <c r="K113" s="66"/>
    </row>
    <row r="114" spans="1:76" x14ac:dyDescent="0.25">
      <c r="A114" s="83"/>
      <c r="B114" s="84"/>
      <c r="C114" s="85" t="s">
        <v>267</v>
      </c>
      <c r="D114" s="86" t="s">
        <v>268</v>
      </c>
      <c r="E114" s="84"/>
      <c r="F114" s="87">
        <v>-161.9965</v>
      </c>
      <c r="G114" s="84"/>
      <c r="H114" s="84"/>
      <c r="I114" s="84"/>
      <c r="J114" s="84"/>
      <c r="K114" s="88"/>
    </row>
    <row r="115" spans="1:76" x14ac:dyDescent="0.25">
      <c r="A115" s="67" t="s">
        <v>269</v>
      </c>
      <c r="B115" s="68" t="s">
        <v>270</v>
      </c>
      <c r="C115" s="135" t="s">
        <v>271</v>
      </c>
      <c r="D115" s="136"/>
      <c r="E115" s="68" t="s">
        <v>77</v>
      </c>
      <c r="F115" s="69">
        <v>417.53250000000003</v>
      </c>
      <c r="G115" s="69">
        <v>0</v>
      </c>
      <c r="H115" s="69">
        <f>F115*AO115</f>
        <v>0</v>
      </c>
      <c r="I115" s="69">
        <f>F115*AP115</f>
        <v>0</v>
      </c>
      <c r="J115" s="69">
        <f>F115*G115</f>
        <v>0</v>
      </c>
      <c r="K115" s="70" t="s">
        <v>95</v>
      </c>
      <c r="Z115" s="47">
        <f>IF(AQ115="5",BJ115,0)</f>
        <v>0</v>
      </c>
      <c r="AB115" s="47">
        <f>IF(AQ115="1",BH115,0)</f>
        <v>0</v>
      </c>
      <c r="AC115" s="47">
        <f>IF(AQ115="1",BI115,0)</f>
        <v>0</v>
      </c>
      <c r="AD115" s="47">
        <f>IF(AQ115="7",BH115,0)</f>
        <v>0</v>
      </c>
      <c r="AE115" s="47">
        <f>IF(AQ115="7",BI115,0)</f>
        <v>0</v>
      </c>
      <c r="AF115" s="47">
        <f>IF(AQ115="2",BH115,0)</f>
        <v>0</v>
      </c>
      <c r="AG115" s="47">
        <f>IF(AQ115="2",BI115,0)</f>
        <v>0</v>
      </c>
      <c r="AH115" s="47">
        <f>IF(AQ115="0",BJ115,0)</f>
        <v>0</v>
      </c>
      <c r="AI115" s="30" t="s">
        <v>54</v>
      </c>
      <c r="AJ115" s="47">
        <f>IF(AN115=0,J115,0)</f>
        <v>0</v>
      </c>
      <c r="AK115" s="47">
        <f>IF(AN115=12,J115,0)</f>
        <v>0</v>
      </c>
      <c r="AL115" s="47">
        <f>IF(AN115=21,J115,0)</f>
        <v>0</v>
      </c>
      <c r="AN115" s="47">
        <v>21</v>
      </c>
      <c r="AO115" s="47">
        <f>G115*0.243460455</f>
        <v>0</v>
      </c>
      <c r="AP115" s="47">
        <f>G115*(1-0.243460455)</f>
        <v>0</v>
      </c>
      <c r="AQ115" s="49" t="s">
        <v>106</v>
      </c>
      <c r="AV115" s="47">
        <f>AW115+AX115</f>
        <v>0</v>
      </c>
      <c r="AW115" s="47">
        <f>F115*AO115</f>
        <v>0</v>
      </c>
      <c r="AX115" s="47">
        <f>F115*AP115</f>
        <v>0</v>
      </c>
      <c r="AY115" s="49" t="s">
        <v>263</v>
      </c>
      <c r="AZ115" s="49" t="s">
        <v>248</v>
      </c>
      <c r="BA115" s="30" t="s">
        <v>63</v>
      </c>
      <c r="BC115" s="47">
        <f>AW115+AX115</f>
        <v>0</v>
      </c>
      <c r="BD115" s="47">
        <f>G115/(100-BE115)*100</f>
        <v>0</v>
      </c>
      <c r="BE115" s="47">
        <v>0</v>
      </c>
      <c r="BF115" s="47">
        <f>115</f>
        <v>115</v>
      </c>
      <c r="BH115" s="47">
        <f>F115*AO115</f>
        <v>0</v>
      </c>
      <c r="BI115" s="47">
        <f>F115*AP115</f>
        <v>0</v>
      </c>
      <c r="BJ115" s="47">
        <f>F115*G115</f>
        <v>0</v>
      </c>
      <c r="BK115" s="47"/>
      <c r="BL115" s="47">
        <v>784</v>
      </c>
      <c r="BW115" s="47">
        <v>21</v>
      </c>
      <c r="BX115" s="50" t="s">
        <v>271</v>
      </c>
    </row>
    <row r="116" spans="1:76" ht="13.5" customHeight="1" x14ac:dyDescent="0.25">
      <c r="A116" s="60"/>
      <c r="C116" s="117" t="s">
        <v>264</v>
      </c>
      <c r="D116" s="118"/>
      <c r="E116" s="118"/>
      <c r="F116" s="118"/>
      <c r="G116" s="118"/>
      <c r="H116" s="118"/>
      <c r="I116" s="118"/>
      <c r="J116" s="118"/>
      <c r="K116" s="119"/>
    </row>
    <row r="117" spans="1:76" x14ac:dyDescent="0.25">
      <c r="A117" s="61"/>
      <c r="B117" s="62"/>
      <c r="C117" s="63" t="s">
        <v>265</v>
      </c>
      <c r="D117" s="64" t="s">
        <v>272</v>
      </c>
      <c r="E117" s="62"/>
      <c r="F117" s="65">
        <v>579.529</v>
      </c>
      <c r="G117" s="62"/>
      <c r="H117" s="62"/>
      <c r="I117" s="62"/>
      <c r="J117" s="62"/>
      <c r="K117" s="66"/>
    </row>
    <row r="118" spans="1:76" x14ac:dyDescent="0.25">
      <c r="A118" s="83"/>
      <c r="B118" s="84"/>
      <c r="C118" s="85" t="s">
        <v>267</v>
      </c>
      <c r="D118" s="86" t="s">
        <v>268</v>
      </c>
      <c r="E118" s="84"/>
      <c r="F118" s="87">
        <v>-161.9965</v>
      </c>
      <c r="G118" s="84"/>
      <c r="H118" s="84"/>
      <c r="I118" s="84"/>
      <c r="J118" s="84"/>
      <c r="K118" s="88"/>
    </row>
    <row r="119" spans="1:76" x14ac:dyDescent="0.25">
      <c r="A119" s="90" t="s">
        <v>50</v>
      </c>
      <c r="B119" s="91" t="s">
        <v>273</v>
      </c>
      <c r="C119" s="137" t="s">
        <v>274</v>
      </c>
      <c r="D119" s="138"/>
      <c r="E119" s="92" t="s">
        <v>4</v>
      </c>
      <c r="F119" s="92" t="s">
        <v>4</v>
      </c>
      <c r="G119" s="92" t="s">
        <v>4</v>
      </c>
      <c r="H119" s="93">
        <f>SUM(H120:H129)</f>
        <v>0</v>
      </c>
      <c r="I119" s="93">
        <f>SUM(I120:I129)</f>
        <v>0</v>
      </c>
      <c r="J119" s="93">
        <f>SUM(J120:J129)</f>
        <v>0</v>
      </c>
      <c r="K119" s="94" t="s">
        <v>50</v>
      </c>
      <c r="AI119" s="30" t="s">
        <v>54</v>
      </c>
      <c r="AS119" s="24">
        <f>SUM(AJ120:AJ129)</f>
        <v>0</v>
      </c>
      <c r="AT119" s="24">
        <f>SUM(AK120:AK129)</f>
        <v>0</v>
      </c>
      <c r="AU119" s="24">
        <f>SUM(AL120:AL129)</f>
        <v>0</v>
      </c>
    </row>
    <row r="120" spans="1:76" x14ac:dyDescent="0.25">
      <c r="A120" s="56" t="s">
        <v>275</v>
      </c>
      <c r="B120" s="57" t="s">
        <v>276</v>
      </c>
      <c r="C120" s="133" t="s">
        <v>277</v>
      </c>
      <c r="D120" s="134"/>
      <c r="E120" s="57" t="s">
        <v>278</v>
      </c>
      <c r="F120" s="58">
        <v>2</v>
      </c>
      <c r="G120" s="58">
        <v>0</v>
      </c>
      <c r="H120" s="58">
        <f>F120*AO120</f>
        <v>0</v>
      </c>
      <c r="I120" s="58">
        <f>F120*AP120</f>
        <v>0</v>
      </c>
      <c r="J120" s="58">
        <f>F120*G120</f>
        <v>0</v>
      </c>
      <c r="K120" s="59" t="s">
        <v>69</v>
      </c>
      <c r="Z120" s="47">
        <f>IF(AQ120="5",BJ120,0)</f>
        <v>0</v>
      </c>
      <c r="AB120" s="47">
        <f>IF(AQ120="1",BH120,0)</f>
        <v>0</v>
      </c>
      <c r="AC120" s="47">
        <f>IF(AQ120="1",BI120,0)</f>
        <v>0</v>
      </c>
      <c r="AD120" s="47">
        <f>IF(AQ120="7",BH120,0)</f>
        <v>0</v>
      </c>
      <c r="AE120" s="47">
        <f>IF(AQ120="7",BI120,0)</f>
        <v>0</v>
      </c>
      <c r="AF120" s="47">
        <f>IF(AQ120="2",BH120,0)</f>
        <v>0</v>
      </c>
      <c r="AG120" s="47">
        <f>IF(AQ120="2",BI120,0)</f>
        <v>0</v>
      </c>
      <c r="AH120" s="47">
        <f>IF(AQ120="0",BJ120,0)</f>
        <v>0</v>
      </c>
      <c r="AI120" s="30" t="s">
        <v>54</v>
      </c>
      <c r="AJ120" s="47">
        <f>IF(AN120=0,J120,0)</f>
        <v>0</v>
      </c>
      <c r="AK120" s="47">
        <f>IF(AN120=12,J120,0)</f>
        <v>0</v>
      </c>
      <c r="AL120" s="47">
        <f>IF(AN120=21,J120,0)</f>
        <v>0</v>
      </c>
      <c r="AN120" s="47">
        <v>21</v>
      </c>
      <c r="AO120" s="47">
        <f>G120*0</f>
        <v>0</v>
      </c>
      <c r="AP120" s="47">
        <f>G120*(1-0)</f>
        <v>0</v>
      </c>
      <c r="AQ120" s="49" t="s">
        <v>55</v>
      </c>
      <c r="AV120" s="47">
        <f>AW120+AX120</f>
        <v>0</v>
      </c>
      <c r="AW120" s="47">
        <f>F120*AO120</f>
        <v>0</v>
      </c>
      <c r="AX120" s="47">
        <f>F120*AP120</f>
        <v>0</v>
      </c>
      <c r="AY120" s="49" t="s">
        <v>279</v>
      </c>
      <c r="AZ120" s="49" t="s">
        <v>62</v>
      </c>
      <c r="BA120" s="30" t="s">
        <v>63</v>
      </c>
      <c r="BC120" s="47">
        <f>AW120+AX120</f>
        <v>0</v>
      </c>
      <c r="BD120" s="47">
        <f>G120/(100-BE120)*100</f>
        <v>0</v>
      </c>
      <c r="BE120" s="47">
        <v>0</v>
      </c>
      <c r="BF120" s="47">
        <f>120</f>
        <v>120</v>
      </c>
      <c r="BH120" s="47">
        <f>F120*AO120</f>
        <v>0</v>
      </c>
      <c r="BI120" s="47">
        <f>F120*AP120</f>
        <v>0</v>
      </c>
      <c r="BJ120" s="47">
        <f>F120*G120</f>
        <v>0</v>
      </c>
      <c r="BK120" s="47"/>
      <c r="BL120" s="47">
        <v>94</v>
      </c>
      <c r="BW120" s="47">
        <v>21</v>
      </c>
      <c r="BX120" s="50" t="s">
        <v>277</v>
      </c>
    </row>
    <row r="121" spans="1:76" ht="13.5" customHeight="1" x14ac:dyDescent="0.25">
      <c r="A121" s="60"/>
      <c r="C121" s="117" t="s">
        <v>280</v>
      </c>
      <c r="D121" s="118"/>
      <c r="E121" s="118"/>
      <c r="F121" s="118"/>
      <c r="G121" s="118"/>
      <c r="H121" s="118"/>
      <c r="I121" s="118"/>
      <c r="J121" s="118"/>
      <c r="K121" s="119"/>
    </row>
    <row r="122" spans="1:76" x14ac:dyDescent="0.25">
      <c r="A122" s="61"/>
      <c r="B122" s="62"/>
      <c r="C122" s="63" t="s">
        <v>60</v>
      </c>
      <c r="D122" s="64" t="s">
        <v>281</v>
      </c>
      <c r="E122" s="62"/>
      <c r="F122" s="65">
        <v>2</v>
      </c>
      <c r="G122" s="62"/>
      <c r="H122" s="62"/>
      <c r="I122" s="62"/>
      <c r="J122" s="62"/>
      <c r="K122" s="66"/>
    </row>
    <row r="123" spans="1:76" x14ac:dyDescent="0.25">
      <c r="A123" s="67" t="s">
        <v>81</v>
      </c>
      <c r="B123" s="68" t="s">
        <v>282</v>
      </c>
      <c r="C123" s="135" t="s">
        <v>283</v>
      </c>
      <c r="D123" s="136"/>
      <c r="E123" s="68" t="s">
        <v>284</v>
      </c>
      <c r="F123" s="69">
        <v>120</v>
      </c>
      <c r="G123" s="69">
        <v>0</v>
      </c>
      <c r="H123" s="69">
        <f>F123*AO123</f>
        <v>0</v>
      </c>
      <c r="I123" s="69">
        <f>F123*AP123</f>
        <v>0</v>
      </c>
      <c r="J123" s="69">
        <f>F123*G123</f>
        <v>0</v>
      </c>
      <c r="K123" s="70" t="s">
        <v>69</v>
      </c>
      <c r="Z123" s="47">
        <f>IF(AQ123="5",BJ123,0)</f>
        <v>0</v>
      </c>
      <c r="AB123" s="47">
        <f>IF(AQ123="1",BH123,0)</f>
        <v>0</v>
      </c>
      <c r="AC123" s="47">
        <f>IF(AQ123="1",BI123,0)</f>
        <v>0</v>
      </c>
      <c r="AD123" s="47">
        <f>IF(AQ123="7",BH123,0)</f>
        <v>0</v>
      </c>
      <c r="AE123" s="47">
        <f>IF(AQ123="7",BI123,0)</f>
        <v>0</v>
      </c>
      <c r="AF123" s="47">
        <f>IF(AQ123="2",BH123,0)</f>
        <v>0</v>
      </c>
      <c r="AG123" s="47">
        <f>IF(AQ123="2",BI123,0)</f>
        <v>0</v>
      </c>
      <c r="AH123" s="47">
        <f>IF(AQ123="0",BJ123,0)</f>
        <v>0</v>
      </c>
      <c r="AI123" s="30" t="s">
        <v>54</v>
      </c>
      <c r="AJ123" s="47">
        <f>IF(AN123=0,J123,0)</f>
        <v>0</v>
      </c>
      <c r="AK123" s="47">
        <f>IF(AN123=12,J123,0)</f>
        <v>0</v>
      </c>
      <c r="AL123" s="47">
        <f>IF(AN123=21,J123,0)</f>
        <v>0</v>
      </c>
      <c r="AN123" s="47">
        <v>21</v>
      </c>
      <c r="AO123" s="47">
        <f>G123*0</f>
        <v>0</v>
      </c>
      <c r="AP123" s="47">
        <f>G123*(1-0)</f>
        <v>0</v>
      </c>
      <c r="AQ123" s="49" t="s">
        <v>55</v>
      </c>
      <c r="AV123" s="47">
        <f>AW123+AX123</f>
        <v>0</v>
      </c>
      <c r="AW123" s="47">
        <f>F123*AO123</f>
        <v>0</v>
      </c>
      <c r="AX123" s="47">
        <f>F123*AP123</f>
        <v>0</v>
      </c>
      <c r="AY123" s="49" t="s">
        <v>279</v>
      </c>
      <c r="AZ123" s="49" t="s">
        <v>62</v>
      </c>
      <c r="BA123" s="30" t="s">
        <v>63</v>
      </c>
      <c r="BC123" s="47">
        <f>AW123+AX123</f>
        <v>0</v>
      </c>
      <c r="BD123" s="47">
        <f>G123/(100-BE123)*100</f>
        <v>0</v>
      </c>
      <c r="BE123" s="47">
        <v>0</v>
      </c>
      <c r="BF123" s="47">
        <f>123</f>
        <v>123</v>
      </c>
      <c r="BH123" s="47">
        <f>F123*AO123</f>
        <v>0</v>
      </c>
      <c r="BI123" s="47">
        <f>F123*AP123</f>
        <v>0</v>
      </c>
      <c r="BJ123" s="47">
        <f>F123*G123</f>
        <v>0</v>
      </c>
      <c r="BK123" s="47"/>
      <c r="BL123" s="47">
        <v>94</v>
      </c>
      <c r="BW123" s="47">
        <v>21</v>
      </c>
      <c r="BX123" s="50" t="s">
        <v>283</v>
      </c>
    </row>
    <row r="124" spans="1:76" ht="13.5" customHeight="1" x14ac:dyDescent="0.25">
      <c r="A124" s="60"/>
      <c r="C124" s="117" t="s">
        <v>280</v>
      </c>
      <c r="D124" s="118"/>
      <c r="E124" s="118"/>
      <c r="F124" s="118"/>
      <c r="G124" s="118"/>
      <c r="H124" s="118"/>
      <c r="I124" s="118"/>
      <c r="J124" s="118"/>
      <c r="K124" s="119"/>
    </row>
    <row r="125" spans="1:76" x14ac:dyDescent="0.25">
      <c r="A125" s="61"/>
      <c r="B125" s="62"/>
      <c r="C125" s="63" t="s">
        <v>285</v>
      </c>
      <c r="D125" s="64" t="s">
        <v>286</v>
      </c>
      <c r="E125" s="62"/>
      <c r="F125" s="65">
        <v>120</v>
      </c>
      <c r="G125" s="62"/>
      <c r="H125" s="62"/>
      <c r="I125" s="62"/>
      <c r="J125" s="62"/>
      <c r="K125" s="66"/>
    </row>
    <row r="126" spans="1:76" x14ac:dyDescent="0.25">
      <c r="A126" s="67" t="s">
        <v>287</v>
      </c>
      <c r="B126" s="68" t="s">
        <v>288</v>
      </c>
      <c r="C126" s="135" t="s">
        <v>289</v>
      </c>
      <c r="D126" s="136"/>
      <c r="E126" s="68" t="s">
        <v>278</v>
      </c>
      <c r="F126" s="69">
        <v>2</v>
      </c>
      <c r="G126" s="69">
        <v>0</v>
      </c>
      <c r="H126" s="69">
        <f>F126*AO126</f>
        <v>0</v>
      </c>
      <c r="I126" s="69">
        <f>F126*AP126</f>
        <v>0</v>
      </c>
      <c r="J126" s="69">
        <f>F126*G126</f>
        <v>0</v>
      </c>
      <c r="K126" s="70" t="s">
        <v>69</v>
      </c>
      <c r="Z126" s="47">
        <f>IF(AQ126="5",BJ126,0)</f>
        <v>0</v>
      </c>
      <c r="AB126" s="47">
        <f>IF(AQ126="1",BH126,0)</f>
        <v>0</v>
      </c>
      <c r="AC126" s="47">
        <f>IF(AQ126="1",BI126,0)</f>
        <v>0</v>
      </c>
      <c r="AD126" s="47">
        <f>IF(AQ126="7",BH126,0)</f>
        <v>0</v>
      </c>
      <c r="AE126" s="47">
        <f>IF(AQ126="7",BI126,0)</f>
        <v>0</v>
      </c>
      <c r="AF126" s="47">
        <f>IF(AQ126="2",BH126,0)</f>
        <v>0</v>
      </c>
      <c r="AG126" s="47">
        <f>IF(AQ126="2",BI126,0)</f>
        <v>0</v>
      </c>
      <c r="AH126" s="47">
        <f>IF(AQ126="0",BJ126,0)</f>
        <v>0</v>
      </c>
      <c r="AI126" s="30" t="s">
        <v>54</v>
      </c>
      <c r="AJ126" s="47">
        <f>IF(AN126=0,J126,0)</f>
        <v>0</v>
      </c>
      <c r="AK126" s="47">
        <f>IF(AN126=12,J126,0)</f>
        <v>0</v>
      </c>
      <c r="AL126" s="47">
        <f>IF(AN126=21,J126,0)</f>
        <v>0</v>
      </c>
      <c r="AN126" s="47">
        <v>21</v>
      </c>
      <c r="AO126" s="47">
        <f>G126*0</f>
        <v>0</v>
      </c>
      <c r="AP126" s="47">
        <f>G126*(1-0)</f>
        <v>0</v>
      </c>
      <c r="AQ126" s="49" t="s">
        <v>55</v>
      </c>
      <c r="AV126" s="47">
        <f>AW126+AX126</f>
        <v>0</v>
      </c>
      <c r="AW126" s="47">
        <f>F126*AO126</f>
        <v>0</v>
      </c>
      <c r="AX126" s="47">
        <f>F126*AP126</f>
        <v>0</v>
      </c>
      <c r="AY126" s="49" t="s">
        <v>279</v>
      </c>
      <c r="AZ126" s="49" t="s">
        <v>62</v>
      </c>
      <c r="BA126" s="30" t="s">
        <v>63</v>
      </c>
      <c r="BC126" s="47">
        <f>AW126+AX126</f>
        <v>0</v>
      </c>
      <c r="BD126" s="47">
        <f>G126/(100-BE126)*100</f>
        <v>0</v>
      </c>
      <c r="BE126" s="47">
        <v>0</v>
      </c>
      <c r="BF126" s="47">
        <f>126</f>
        <v>126</v>
      </c>
      <c r="BH126" s="47">
        <f>F126*AO126</f>
        <v>0</v>
      </c>
      <c r="BI126" s="47">
        <f>F126*AP126</f>
        <v>0</v>
      </c>
      <c r="BJ126" s="47">
        <f>F126*G126</f>
        <v>0</v>
      </c>
      <c r="BK126" s="47"/>
      <c r="BL126" s="47">
        <v>94</v>
      </c>
      <c r="BW126" s="47">
        <v>21</v>
      </c>
      <c r="BX126" s="50" t="s">
        <v>289</v>
      </c>
    </row>
    <row r="127" spans="1:76" ht="13.5" customHeight="1" x14ac:dyDescent="0.25">
      <c r="A127" s="60"/>
      <c r="C127" s="117" t="s">
        <v>290</v>
      </c>
      <c r="D127" s="118"/>
      <c r="E127" s="118"/>
      <c r="F127" s="118"/>
      <c r="G127" s="118"/>
      <c r="H127" s="118"/>
      <c r="I127" s="118"/>
      <c r="J127" s="118"/>
      <c r="K127" s="119"/>
    </row>
    <row r="128" spans="1:76" x14ac:dyDescent="0.25">
      <c r="A128" s="61"/>
      <c r="B128" s="62"/>
      <c r="C128" s="63" t="s">
        <v>60</v>
      </c>
      <c r="D128" s="64" t="s">
        <v>291</v>
      </c>
      <c r="E128" s="62"/>
      <c r="F128" s="65">
        <v>2</v>
      </c>
      <c r="G128" s="62"/>
      <c r="H128" s="62"/>
      <c r="I128" s="62"/>
      <c r="J128" s="62"/>
      <c r="K128" s="66"/>
    </row>
    <row r="129" spans="1:76" x14ac:dyDescent="0.25">
      <c r="A129" s="67" t="s">
        <v>292</v>
      </c>
      <c r="B129" s="68" t="s">
        <v>293</v>
      </c>
      <c r="C129" s="135" t="s">
        <v>294</v>
      </c>
      <c r="D129" s="136"/>
      <c r="E129" s="68" t="s">
        <v>77</v>
      </c>
      <c r="F129" s="69">
        <v>8.4</v>
      </c>
      <c r="G129" s="69">
        <v>0</v>
      </c>
      <c r="H129" s="69">
        <f>F129*AO129</f>
        <v>0</v>
      </c>
      <c r="I129" s="69">
        <f>F129*AP129</f>
        <v>0</v>
      </c>
      <c r="J129" s="69">
        <f>F129*G129</f>
        <v>0</v>
      </c>
      <c r="K129" s="70" t="s">
        <v>69</v>
      </c>
      <c r="Z129" s="47">
        <f>IF(AQ129="5",BJ129,0)</f>
        <v>0</v>
      </c>
      <c r="AB129" s="47">
        <f>IF(AQ129="1",BH129,0)</f>
        <v>0</v>
      </c>
      <c r="AC129" s="47">
        <f>IF(AQ129="1",BI129,0)</f>
        <v>0</v>
      </c>
      <c r="AD129" s="47">
        <f>IF(AQ129="7",BH129,0)</f>
        <v>0</v>
      </c>
      <c r="AE129" s="47">
        <f>IF(AQ129="7",BI129,0)</f>
        <v>0</v>
      </c>
      <c r="AF129" s="47">
        <f>IF(AQ129="2",BH129,0)</f>
        <v>0</v>
      </c>
      <c r="AG129" s="47">
        <f>IF(AQ129="2",BI129,0)</f>
        <v>0</v>
      </c>
      <c r="AH129" s="47">
        <f>IF(AQ129="0",BJ129,0)</f>
        <v>0</v>
      </c>
      <c r="AI129" s="30" t="s">
        <v>54</v>
      </c>
      <c r="AJ129" s="47">
        <f>IF(AN129=0,J129,0)</f>
        <v>0</v>
      </c>
      <c r="AK129" s="47">
        <f>IF(AN129=12,J129,0)</f>
        <v>0</v>
      </c>
      <c r="AL129" s="47">
        <f>IF(AN129=21,J129,0)</f>
        <v>0</v>
      </c>
      <c r="AN129" s="47">
        <v>21</v>
      </c>
      <c r="AO129" s="47">
        <f>G129*0.401818182</f>
        <v>0</v>
      </c>
      <c r="AP129" s="47">
        <f>G129*(1-0.401818182)</f>
        <v>0</v>
      </c>
      <c r="AQ129" s="49" t="s">
        <v>55</v>
      </c>
      <c r="AV129" s="47">
        <f>AW129+AX129</f>
        <v>0</v>
      </c>
      <c r="AW129" s="47">
        <f>F129*AO129</f>
        <v>0</v>
      </c>
      <c r="AX129" s="47">
        <f>F129*AP129</f>
        <v>0</v>
      </c>
      <c r="AY129" s="49" t="s">
        <v>279</v>
      </c>
      <c r="AZ129" s="49" t="s">
        <v>62</v>
      </c>
      <c r="BA129" s="30" t="s">
        <v>63</v>
      </c>
      <c r="BC129" s="47">
        <f>AW129+AX129</f>
        <v>0</v>
      </c>
      <c r="BD129" s="47">
        <f>G129/(100-BE129)*100</f>
        <v>0</v>
      </c>
      <c r="BE129" s="47">
        <v>0</v>
      </c>
      <c r="BF129" s="47">
        <f>129</f>
        <v>129</v>
      </c>
      <c r="BH129" s="47">
        <f>F129*AO129</f>
        <v>0</v>
      </c>
      <c r="BI129" s="47">
        <f>F129*AP129</f>
        <v>0</v>
      </c>
      <c r="BJ129" s="47">
        <f>F129*G129</f>
        <v>0</v>
      </c>
      <c r="BK129" s="47"/>
      <c r="BL129" s="47">
        <v>94</v>
      </c>
      <c r="BW129" s="47">
        <v>21</v>
      </c>
      <c r="BX129" s="50" t="s">
        <v>294</v>
      </c>
    </row>
    <row r="130" spans="1:76" x14ac:dyDescent="0.25">
      <c r="A130" s="83"/>
      <c r="B130" s="84"/>
      <c r="C130" s="85" t="s">
        <v>295</v>
      </c>
      <c r="D130" s="86" t="s">
        <v>296</v>
      </c>
      <c r="E130" s="84"/>
      <c r="F130" s="87">
        <v>8.4</v>
      </c>
      <c r="G130" s="84"/>
      <c r="H130" s="84"/>
      <c r="I130" s="84"/>
      <c r="J130" s="84"/>
      <c r="K130" s="88"/>
    </row>
    <row r="131" spans="1:76" x14ac:dyDescent="0.25">
      <c r="A131" s="90" t="s">
        <v>50</v>
      </c>
      <c r="B131" s="91" t="s">
        <v>297</v>
      </c>
      <c r="C131" s="137" t="s">
        <v>298</v>
      </c>
      <c r="D131" s="138"/>
      <c r="E131" s="92" t="s">
        <v>4</v>
      </c>
      <c r="F131" s="92" t="s">
        <v>4</v>
      </c>
      <c r="G131" s="92" t="s">
        <v>4</v>
      </c>
      <c r="H131" s="93">
        <f>SUM(H132:H141)</f>
        <v>0</v>
      </c>
      <c r="I131" s="93">
        <f>SUM(I132:I141)</f>
        <v>0</v>
      </c>
      <c r="J131" s="93">
        <f>SUM(J132:J141)</f>
        <v>0</v>
      </c>
      <c r="K131" s="94" t="s">
        <v>50</v>
      </c>
      <c r="AI131" s="30" t="s">
        <v>54</v>
      </c>
      <c r="AS131" s="24">
        <f>SUM(AJ132:AJ141)</f>
        <v>0</v>
      </c>
      <c r="AT131" s="24">
        <f>SUM(AK132:AK141)</f>
        <v>0</v>
      </c>
      <c r="AU131" s="24">
        <f>SUM(AL132:AL141)</f>
        <v>0</v>
      </c>
    </row>
    <row r="132" spans="1:76" x14ac:dyDescent="0.25">
      <c r="A132" s="56" t="s">
        <v>299</v>
      </c>
      <c r="B132" s="57" t="s">
        <v>300</v>
      </c>
      <c r="C132" s="133" t="s">
        <v>301</v>
      </c>
      <c r="D132" s="134"/>
      <c r="E132" s="57" t="s">
        <v>77</v>
      </c>
      <c r="F132" s="58">
        <v>12.98</v>
      </c>
      <c r="G132" s="58">
        <v>0</v>
      </c>
      <c r="H132" s="58">
        <f>F132*AO132</f>
        <v>0</v>
      </c>
      <c r="I132" s="58">
        <f>F132*AP132</f>
        <v>0</v>
      </c>
      <c r="J132" s="58">
        <f>F132*G132</f>
        <v>0</v>
      </c>
      <c r="K132" s="59" t="s">
        <v>69</v>
      </c>
      <c r="Z132" s="47">
        <f>IF(AQ132="5",BJ132,0)</f>
        <v>0</v>
      </c>
      <c r="AB132" s="47">
        <f>IF(AQ132="1",BH132,0)</f>
        <v>0</v>
      </c>
      <c r="AC132" s="47">
        <f>IF(AQ132="1",BI132,0)</f>
        <v>0</v>
      </c>
      <c r="AD132" s="47">
        <f>IF(AQ132="7",BH132,0)</f>
        <v>0</v>
      </c>
      <c r="AE132" s="47">
        <f>IF(AQ132="7",BI132,0)</f>
        <v>0</v>
      </c>
      <c r="AF132" s="47">
        <f>IF(AQ132="2",BH132,0)</f>
        <v>0</v>
      </c>
      <c r="AG132" s="47">
        <f>IF(AQ132="2",BI132,0)</f>
        <v>0</v>
      </c>
      <c r="AH132" s="47">
        <f>IF(AQ132="0",BJ132,0)</f>
        <v>0</v>
      </c>
      <c r="AI132" s="30" t="s">
        <v>54</v>
      </c>
      <c r="AJ132" s="47">
        <f>IF(AN132=0,J132,0)</f>
        <v>0</v>
      </c>
      <c r="AK132" s="47">
        <f>IF(AN132=12,J132,0)</f>
        <v>0</v>
      </c>
      <c r="AL132" s="47">
        <f>IF(AN132=21,J132,0)</f>
        <v>0</v>
      </c>
      <c r="AN132" s="47">
        <v>21</v>
      </c>
      <c r="AO132" s="47">
        <f>G132*0.071174772</f>
        <v>0</v>
      </c>
      <c r="AP132" s="47">
        <f>G132*(1-0.071174772)</f>
        <v>0</v>
      </c>
      <c r="AQ132" s="49" t="s">
        <v>55</v>
      </c>
      <c r="AV132" s="47">
        <f>AW132+AX132</f>
        <v>0</v>
      </c>
      <c r="AW132" s="47">
        <f>F132*AO132</f>
        <v>0</v>
      </c>
      <c r="AX132" s="47">
        <f>F132*AP132</f>
        <v>0</v>
      </c>
      <c r="AY132" s="49" t="s">
        <v>302</v>
      </c>
      <c r="AZ132" s="49" t="s">
        <v>62</v>
      </c>
      <c r="BA132" s="30" t="s">
        <v>63</v>
      </c>
      <c r="BC132" s="47">
        <f>AW132+AX132</f>
        <v>0</v>
      </c>
      <c r="BD132" s="47">
        <f>G132/(100-BE132)*100</f>
        <v>0</v>
      </c>
      <c r="BE132" s="47">
        <v>0</v>
      </c>
      <c r="BF132" s="47">
        <f>132</f>
        <v>132</v>
      </c>
      <c r="BH132" s="47">
        <f>F132*AO132</f>
        <v>0</v>
      </c>
      <c r="BI132" s="47">
        <f>F132*AP132</f>
        <v>0</v>
      </c>
      <c r="BJ132" s="47">
        <f>F132*G132</f>
        <v>0</v>
      </c>
      <c r="BK132" s="47"/>
      <c r="BL132" s="47">
        <v>96</v>
      </c>
      <c r="BW132" s="47">
        <v>21</v>
      </c>
      <c r="BX132" s="50" t="s">
        <v>301</v>
      </c>
    </row>
    <row r="133" spans="1:76" ht="13.5" customHeight="1" x14ac:dyDescent="0.25">
      <c r="A133" s="60"/>
      <c r="C133" s="117" t="s">
        <v>303</v>
      </c>
      <c r="D133" s="118"/>
      <c r="E133" s="118"/>
      <c r="F133" s="118"/>
      <c r="G133" s="118"/>
      <c r="H133" s="118"/>
      <c r="I133" s="118"/>
      <c r="J133" s="118"/>
      <c r="K133" s="119"/>
    </row>
    <row r="134" spans="1:76" x14ac:dyDescent="0.25">
      <c r="A134" s="61"/>
      <c r="B134" s="62"/>
      <c r="C134" s="63" t="s">
        <v>304</v>
      </c>
      <c r="D134" s="64" t="s">
        <v>305</v>
      </c>
      <c r="E134" s="62"/>
      <c r="F134" s="65">
        <v>12.98</v>
      </c>
      <c r="G134" s="62"/>
      <c r="H134" s="62"/>
      <c r="I134" s="62"/>
      <c r="J134" s="62"/>
      <c r="K134" s="66"/>
    </row>
    <row r="135" spans="1:76" x14ac:dyDescent="0.25">
      <c r="A135" s="67" t="s">
        <v>306</v>
      </c>
      <c r="B135" s="68" t="s">
        <v>307</v>
      </c>
      <c r="C135" s="135" t="s">
        <v>308</v>
      </c>
      <c r="D135" s="136"/>
      <c r="E135" s="68" t="s">
        <v>68</v>
      </c>
      <c r="F135" s="69">
        <v>2</v>
      </c>
      <c r="G135" s="69">
        <v>0</v>
      </c>
      <c r="H135" s="69">
        <f>F135*AO135</f>
        <v>0</v>
      </c>
      <c r="I135" s="69">
        <f>F135*AP135</f>
        <v>0</v>
      </c>
      <c r="J135" s="69">
        <f>F135*G135</f>
        <v>0</v>
      </c>
      <c r="K135" s="70" t="s">
        <v>69</v>
      </c>
      <c r="Z135" s="47">
        <f>IF(AQ135="5",BJ135,0)</f>
        <v>0</v>
      </c>
      <c r="AB135" s="47">
        <f>IF(AQ135="1",BH135,0)</f>
        <v>0</v>
      </c>
      <c r="AC135" s="47">
        <f>IF(AQ135="1",BI135,0)</f>
        <v>0</v>
      </c>
      <c r="AD135" s="47">
        <f>IF(AQ135="7",BH135,0)</f>
        <v>0</v>
      </c>
      <c r="AE135" s="47">
        <f>IF(AQ135="7",BI135,0)</f>
        <v>0</v>
      </c>
      <c r="AF135" s="47">
        <f>IF(AQ135="2",BH135,0)</f>
        <v>0</v>
      </c>
      <c r="AG135" s="47">
        <f>IF(AQ135="2",BI135,0)</f>
        <v>0</v>
      </c>
      <c r="AH135" s="47">
        <f>IF(AQ135="0",BJ135,0)</f>
        <v>0</v>
      </c>
      <c r="AI135" s="30" t="s">
        <v>54</v>
      </c>
      <c r="AJ135" s="47">
        <f>IF(AN135=0,J135,0)</f>
        <v>0</v>
      </c>
      <c r="AK135" s="47">
        <f>IF(AN135=12,J135,0)</f>
        <v>0</v>
      </c>
      <c r="AL135" s="47">
        <f>IF(AN135=21,J135,0)</f>
        <v>0</v>
      </c>
      <c r="AN135" s="47">
        <v>21</v>
      </c>
      <c r="AO135" s="47">
        <f>G135*0</f>
        <v>0</v>
      </c>
      <c r="AP135" s="47">
        <f>G135*(1-0)</f>
        <v>0</v>
      </c>
      <c r="AQ135" s="49" t="s">
        <v>55</v>
      </c>
      <c r="AV135" s="47">
        <f>AW135+AX135</f>
        <v>0</v>
      </c>
      <c r="AW135" s="47">
        <f>F135*AO135</f>
        <v>0</v>
      </c>
      <c r="AX135" s="47">
        <f>F135*AP135</f>
        <v>0</v>
      </c>
      <c r="AY135" s="49" t="s">
        <v>302</v>
      </c>
      <c r="AZ135" s="49" t="s">
        <v>62</v>
      </c>
      <c r="BA135" s="30" t="s">
        <v>63</v>
      </c>
      <c r="BC135" s="47">
        <f>AW135+AX135</f>
        <v>0</v>
      </c>
      <c r="BD135" s="47">
        <f>G135/(100-BE135)*100</f>
        <v>0</v>
      </c>
      <c r="BE135" s="47">
        <v>0</v>
      </c>
      <c r="BF135" s="47">
        <f>135</f>
        <v>135</v>
      </c>
      <c r="BH135" s="47">
        <f>F135*AO135</f>
        <v>0</v>
      </c>
      <c r="BI135" s="47">
        <f>F135*AP135</f>
        <v>0</v>
      </c>
      <c r="BJ135" s="47">
        <f>F135*G135</f>
        <v>0</v>
      </c>
      <c r="BK135" s="47"/>
      <c r="BL135" s="47">
        <v>96</v>
      </c>
      <c r="BW135" s="47">
        <v>21</v>
      </c>
      <c r="BX135" s="50" t="s">
        <v>308</v>
      </c>
    </row>
    <row r="136" spans="1:76" x14ac:dyDescent="0.25">
      <c r="A136" s="83"/>
      <c r="B136" s="84"/>
      <c r="C136" s="85" t="s">
        <v>60</v>
      </c>
      <c r="D136" s="86" t="s">
        <v>309</v>
      </c>
      <c r="E136" s="84"/>
      <c r="F136" s="87">
        <v>2</v>
      </c>
      <c r="G136" s="84"/>
      <c r="H136" s="84"/>
      <c r="I136" s="84"/>
      <c r="J136" s="84"/>
      <c r="K136" s="88"/>
    </row>
    <row r="137" spans="1:76" ht="38.25" x14ac:dyDescent="0.25">
      <c r="A137" s="60"/>
      <c r="B137" s="74" t="s">
        <v>90</v>
      </c>
      <c r="C137" s="117" t="s">
        <v>310</v>
      </c>
      <c r="D137" s="118"/>
      <c r="E137" s="118"/>
      <c r="F137" s="118"/>
      <c r="G137" s="118"/>
      <c r="H137" s="118"/>
      <c r="I137" s="118"/>
      <c r="J137" s="118"/>
      <c r="K137" s="119"/>
      <c r="BX137" s="75" t="s">
        <v>310</v>
      </c>
    </row>
    <row r="138" spans="1:76" x14ac:dyDescent="0.25">
      <c r="A138" s="56" t="s">
        <v>311</v>
      </c>
      <c r="B138" s="57" t="s">
        <v>312</v>
      </c>
      <c r="C138" s="133" t="s">
        <v>313</v>
      </c>
      <c r="D138" s="134"/>
      <c r="E138" s="57" t="s">
        <v>77</v>
      </c>
      <c r="F138" s="58">
        <v>4.5</v>
      </c>
      <c r="G138" s="58">
        <v>0</v>
      </c>
      <c r="H138" s="58">
        <f>F138*AO138</f>
        <v>0</v>
      </c>
      <c r="I138" s="58">
        <f>F138*AP138</f>
        <v>0</v>
      </c>
      <c r="J138" s="58">
        <f>F138*G138</f>
        <v>0</v>
      </c>
      <c r="K138" s="59" t="s">
        <v>69</v>
      </c>
      <c r="Z138" s="47">
        <f>IF(AQ138="5",BJ138,0)</f>
        <v>0</v>
      </c>
      <c r="AB138" s="47">
        <f>IF(AQ138="1",BH138,0)</f>
        <v>0</v>
      </c>
      <c r="AC138" s="47">
        <f>IF(AQ138="1",BI138,0)</f>
        <v>0</v>
      </c>
      <c r="AD138" s="47">
        <f>IF(AQ138="7",BH138,0)</f>
        <v>0</v>
      </c>
      <c r="AE138" s="47">
        <f>IF(AQ138="7",BI138,0)</f>
        <v>0</v>
      </c>
      <c r="AF138" s="47">
        <f>IF(AQ138="2",BH138,0)</f>
        <v>0</v>
      </c>
      <c r="AG138" s="47">
        <f>IF(AQ138="2",BI138,0)</f>
        <v>0</v>
      </c>
      <c r="AH138" s="47">
        <f>IF(AQ138="0",BJ138,0)</f>
        <v>0</v>
      </c>
      <c r="AI138" s="30" t="s">
        <v>54</v>
      </c>
      <c r="AJ138" s="47">
        <f>IF(AN138=0,J138,0)</f>
        <v>0</v>
      </c>
      <c r="AK138" s="47">
        <f>IF(AN138=12,J138,0)</f>
        <v>0</v>
      </c>
      <c r="AL138" s="47">
        <f>IF(AN138=21,J138,0)</f>
        <v>0</v>
      </c>
      <c r="AN138" s="47">
        <v>21</v>
      </c>
      <c r="AO138" s="47">
        <f>G138*0.11289916</f>
        <v>0</v>
      </c>
      <c r="AP138" s="47">
        <f>G138*(1-0.11289916)</f>
        <v>0</v>
      </c>
      <c r="AQ138" s="49" t="s">
        <v>55</v>
      </c>
      <c r="AV138" s="47">
        <f>AW138+AX138</f>
        <v>0</v>
      </c>
      <c r="AW138" s="47">
        <f>F138*AO138</f>
        <v>0</v>
      </c>
      <c r="AX138" s="47">
        <f>F138*AP138</f>
        <v>0</v>
      </c>
      <c r="AY138" s="49" t="s">
        <v>302</v>
      </c>
      <c r="AZ138" s="49" t="s">
        <v>62</v>
      </c>
      <c r="BA138" s="30" t="s">
        <v>63</v>
      </c>
      <c r="BC138" s="47">
        <f>AW138+AX138</f>
        <v>0</v>
      </c>
      <c r="BD138" s="47">
        <f>G138/(100-BE138)*100</f>
        <v>0</v>
      </c>
      <c r="BE138" s="47">
        <v>0</v>
      </c>
      <c r="BF138" s="47">
        <f>138</f>
        <v>138</v>
      </c>
      <c r="BH138" s="47">
        <f>F138*AO138</f>
        <v>0</v>
      </c>
      <c r="BI138" s="47">
        <f>F138*AP138</f>
        <v>0</v>
      </c>
      <c r="BJ138" s="47">
        <f>F138*G138</f>
        <v>0</v>
      </c>
      <c r="BK138" s="47"/>
      <c r="BL138" s="47">
        <v>96</v>
      </c>
      <c r="BW138" s="47">
        <v>21</v>
      </c>
      <c r="BX138" s="50" t="s">
        <v>313</v>
      </c>
    </row>
    <row r="139" spans="1:76" x14ac:dyDescent="0.25">
      <c r="A139" s="83"/>
      <c r="B139" s="84"/>
      <c r="C139" s="85" t="s">
        <v>314</v>
      </c>
      <c r="D139" s="86" t="s">
        <v>309</v>
      </c>
      <c r="E139" s="84"/>
      <c r="F139" s="87">
        <v>4.5</v>
      </c>
      <c r="G139" s="84"/>
      <c r="H139" s="84"/>
      <c r="I139" s="84"/>
      <c r="J139" s="84"/>
      <c r="K139" s="88"/>
    </row>
    <row r="140" spans="1:76" ht="51" x14ac:dyDescent="0.25">
      <c r="A140" s="60"/>
      <c r="B140" s="74" t="s">
        <v>90</v>
      </c>
      <c r="C140" s="117" t="s">
        <v>315</v>
      </c>
      <c r="D140" s="118"/>
      <c r="E140" s="118"/>
      <c r="F140" s="118"/>
      <c r="G140" s="118"/>
      <c r="H140" s="118"/>
      <c r="I140" s="118"/>
      <c r="J140" s="118"/>
      <c r="K140" s="119"/>
      <c r="BX140" s="75" t="s">
        <v>315</v>
      </c>
    </row>
    <row r="141" spans="1:76" x14ac:dyDescent="0.25">
      <c r="A141" s="56" t="s">
        <v>316</v>
      </c>
      <c r="B141" s="57" t="s">
        <v>317</v>
      </c>
      <c r="C141" s="133" t="s">
        <v>318</v>
      </c>
      <c r="D141" s="134"/>
      <c r="E141" s="57" t="s">
        <v>77</v>
      </c>
      <c r="F141" s="58">
        <v>5.4</v>
      </c>
      <c r="G141" s="58">
        <v>0</v>
      </c>
      <c r="H141" s="58">
        <f>F141*AO141</f>
        <v>0</v>
      </c>
      <c r="I141" s="58">
        <f>F141*AP141</f>
        <v>0</v>
      </c>
      <c r="J141" s="58">
        <f>F141*G141</f>
        <v>0</v>
      </c>
      <c r="K141" s="59" t="s">
        <v>95</v>
      </c>
      <c r="Z141" s="47">
        <f>IF(AQ141="5",BJ141,0)</f>
        <v>0</v>
      </c>
      <c r="AB141" s="47">
        <f>IF(AQ141="1",BH141,0)</f>
        <v>0</v>
      </c>
      <c r="AC141" s="47">
        <f>IF(AQ141="1",BI141,0)</f>
        <v>0</v>
      </c>
      <c r="AD141" s="47">
        <f>IF(AQ141="7",BH141,0)</f>
        <v>0</v>
      </c>
      <c r="AE141" s="47">
        <f>IF(AQ141="7",BI141,0)</f>
        <v>0</v>
      </c>
      <c r="AF141" s="47">
        <f>IF(AQ141="2",BH141,0)</f>
        <v>0</v>
      </c>
      <c r="AG141" s="47">
        <f>IF(AQ141="2",BI141,0)</f>
        <v>0</v>
      </c>
      <c r="AH141" s="47">
        <f>IF(AQ141="0",BJ141,0)</f>
        <v>0</v>
      </c>
      <c r="AI141" s="30" t="s">
        <v>54</v>
      </c>
      <c r="AJ141" s="47">
        <f>IF(AN141=0,J141,0)</f>
        <v>0</v>
      </c>
      <c r="AK141" s="47">
        <f>IF(AN141=12,J141,0)</f>
        <v>0</v>
      </c>
      <c r="AL141" s="47">
        <f>IF(AN141=21,J141,0)</f>
        <v>0</v>
      </c>
      <c r="AN141" s="47">
        <v>21</v>
      </c>
      <c r="AO141" s="47">
        <f>G141*0</f>
        <v>0</v>
      </c>
      <c r="AP141" s="47">
        <f>G141*(1-0)</f>
        <v>0</v>
      </c>
      <c r="AQ141" s="49" t="s">
        <v>55</v>
      </c>
      <c r="AV141" s="47">
        <f>AW141+AX141</f>
        <v>0</v>
      </c>
      <c r="AW141" s="47">
        <f>F141*AO141</f>
        <v>0</v>
      </c>
      <c r="AX141" s="47">
        <f>F141*AP141</f>
        <v>0</v>
      </c>
      <c r="AY141" s="49" t="s">
        <v>302</v>
      </c>
      <c r="AZ141" s="49" t="s">
        <v>62</v>
      </c>
      <c r="BA141" s="30" t="s">
        <v>63</v>
      </c>
      <c r="BC141" s="47">
        <f>AW141+AX141</f>
        <v>0</v>
      </c>
      <c r="BD141" s="47">
        <f>G141/(100-BE141)*100</f>
        <v>0</v>
      </c>
      <c r="BE141" s="47">
        <v>0</v>
      </c>
      <c r="BF141" s="47">
        <f>141</f>
        <v>141</v>
      </c>
      <c r="BH141" s="47">
        <f>F141*AO141</f>
        <v>0</v>
      </c>
      <c r="BI141" s="47">
        <f>F141*AP141</f>
        <v>0</v>
      </c>
      <c r="BJ141" s="47">
        <f>F141*G141</f>
        <v>0</v>
      </c>
      <c r="BK141" s="47"/>
      <c r="BL141" s="47">
        <v>96</v>
      </c>
      <c r="BW141" s="47">
        <v>21</v>
      </c>
      <c r="BX141" s="50" t="s">
        <v>318</v>
      </c>
    </row>
    <row r="142" spans="1:76" ht="27" customHeight="1" x14ac:dyDescent="0.25">
      <c r="A142" s="60"/>
      <c r="C142" s="117" t="s">
        <v>319</v>
      </c>
      <c r="D142" s="118"/>
      <c r="E142" s="118"/>
      <c r="F142" s="118"/>
      <c r="G142" s="118"/>
      <c r="H142" s="118"/>
      <c r="I142" s="118"/>
      <c r="J142" s="118"/>
      <c r="K142" s="119"/>
    </row>
    <row r="143" spans="1:76" x14ac:dyDescent="0.25">
      <c r="A143" s="61"/>
      <c r="B143" s="62"/>
      <c r="C143" s="63" t="s">
        <v>320</v>
      </c>
      <c r="D143" s="64" t="s">
        <v>321</v>
      </c>
      <c r="E143" s="62"/>
      <c r="F143" s="65">
        <v>5.4</v>
      </c>
      <c r="G143" s="62"/>
      <c r="H143" s="62"/>
      <c r="I143" s="62"/>
      <c r="J143" s="62"/>
      <c r="K143" s="66"/>
    </row>
    <row r="144" spans="1:76" x14ac:dyDescent="0.25">
      <c r="A144" s="90" t="s">
        <v>50</v>
      </c>
      <c r="B144" s="91" t="s">
        <v>322</v>
      </c>
      <c r="C144" s="137" t="s">
        <v>323</v>
      </c>
      <c r="D144" s="138"/>
      <c r="E144" s="92" t="s">
        <v>4</v>
      </c>
      <c r="F144" s="92" t="s">
        <v>4</v>
      </c>
      <c r="G144" s="92" t="s">
        <v>4</v>
      </c>
      <c r="H144" s="93">
        <f>SUM(H145:H148)</f>
        <v>0</v>
      </c>
      <c r="I144" s="93">
        <f>SUM(I145:I148)</f>
        <v>0</v>
      </c>
      <c r="J144" s="93">
        <f>SUM(J145:J148)</f>
        <v>0</v>
      </c>
      <c r="K144" s="94" t="s">
        <v>50</v>
      </c>
      <c r="AI144" s="30" t="s">
        <v>54</v>
      </c>
      <c r="AS144" s="24">
        <f>SUM(AJ145:AJ148)</f>
        <v>0</v>
      </c>
      <c r="AT144" s="24">
        <f>SUM(AK145:AK148)</f>
        <v>0</v>
      </c>
      <c r="AU144" s="24">
        <f>SUM(AL145:AL148)</f>
        <v>0</v>
      </c>
    </row>
    <row r="145" spans="1:76" x14ac:dyDescent="0.25">
      <c r="A145" s="56" t="s">
        <v>104</v>
      </c>
      <c r="B145" s="57" t="s">
        <v>324</v>
      </c>
      <c r="C145" s="133" t="s">
        <v>325</v>
      </c>
      <c r="D145" s="134"/>
      <c r="E145" s="57" t="s">
        <v>77</v>
      </c>
      <c r="F145" s="58">
        <v>1.8632</v>
      </c>
      <c r="G145" s="58">
        <v>0</v>
      </c>
      <c r="H145" s="58">
        <f>F145*AO145</f>
        <v>0</v>
      </c>
      <c r="I145" s="58">
        <f>F145*AP145</f>
        <v>0</v>
      </c>
      <c r="J145" s="58">
        <f>F145*G145</f>
        <v>0</v>
      </c>
      <c r="K145" s="59" t="s">
        <v>69</v>
      </c>
      <c r="Z145" s="47">
        <f>IF(AQ145="5",BJ145,0)</f>
        <v>0</v>
      </c>
      <c r="AB145" s="47">
        <f>IF(AQ145="1",BH145,0)</f>
        <v>0</v>
      </c>
      <c r="AC145" s="47">
        <f>IF(AQ145="1",BI145,0)</f>
        <v>0</v>
      </c>
      <c r="AD145" s="47">
        <f>IF(AQ145="7",BH145,0)</f>
        <v>0</v>
      </c>
      <c r="AE145" s="47">
        <f>IF(AQ145="7",BI145,0)</f>
        <v>0</v>
      </c>
      <c r="AF145" s="47">
        <f>IF(AQ145="2",BH145,0)</f>
        <v>0</v>
      </c>
      <c r="AG145" s="47">
        <f>IF(AQ145="2",BI145,0)</f>
        <v>0</v>
      </c>
      <c r="AH145" s="47">
        <f>IF(AQ145="0",BJ145,0)</f>
        <v>0</v>
      </c>
      <c r="AI145" s="30" t="s">
        <v>54</v>
      </c>
      <c r="AJ145" s="47">
        <f>IF(AN145=0,J145,0)</f>
        <v>0</v>
      </c>
      <c r="AK145" s="47">
        <f>IF(AN145=12,J145,0)</f>
        <v>0</v>
      </c>
      <c r="AL145" s="47">
        <f>IF(AN145=21,J145,0)</f>
        <v>0</v>
      </c>
      <c r="AN145" s="47">
        <v>21</v>
      </c>
      <c r="AO145" s="47">
        <f>G145*0.010058951</f>
        <v>0</v>
      </c>
      <c r="AP145" s="47">
        <f>G145*(1-0.010058951)</f>
        <v>0</v>
      </c>
      <c r="AQ145" s="49" t="s">
        <v>55</v>
      </c>
      <c r="AV145" s="47">
        <f>AW145+AX145</f>
        <v>0</v>
      </c>
      <c r="AW145" s="47">
        <f>F145*AO145</f>
        <v>0</v>
      </c>
      <c r="AX145" s="47">
        <f>F145*AP145</f>
        <v>0</v>
      </c>
      <c r="AY145" s="49" t="s">
        <v>326</v>
      </c>
      <c r="AZ145" s="49" t="s">
        <v>62</v>
      </c>
      <c r="BA145" s="30" t="s">
        <v>63</v>
      </c>
      <c r="BC145" s="47">
        <f>AW145+AX145</f>
        <v>0</v>
      </c>
      <c r="BD145" s="47">
        <f>G145/(100-BE145)*100</f>
        <v>0</v>
      </c>
      <c r="BE145" s="47">
        <v>0</v>
      </c>
      <c r="BF145" s="47">
        <f>145</f>
        <v>145</v>
      </c>
      <c r="BH145" s="47">
        <f>F145*AO145</f>
        <v>0</v>
      </c>
      <c r="BI145" s="47">
        <f>F145*AP145</f>
        <v>0</v>
      </c>
      <c r="BJ145" s="47">
        <f>F145*G145</f>
        <v>0</v>
      </c>
      <c r="BK145" s="47"/>
      <c r="BL145" s="47">
        <v>97</v>
      </c>
      <c r="BW145" s="47">
        <v>21</v>
      </c>
      <c r="BX145" s="50" t="s">
        <v>325</v>
      </c>
    </row>
    <row r="146" spans="1:76" ht="13.5" customHeight="1" x14ac:dyDescent="0.25">
      <c r="A146" s="60"/>
      <c r="C146" s="117" t="s">
        <v>327</v>
      </c>
      <c r="D146" s="118"/>
      <c r="E146" s="118"/>
      <c r="F146" s="118"/>
      <c r="G146" s="118"/>
      <c r="H146" s="118"/>
      <c r="I146" s="118"/>
      <c r="J146" s="118"/>
      <c r="K146" s="119"/>
    </row>
    <row r="147" spans="1:76" x14ac:dyDescent="0.25">
      <c r="A147" s="61"/>
      <c r="B147" s="62"/>
      <c r="C147" s="63" t="s">
        <v>328</v>
      </c>
      <c r="D147" s="64" t="s">
        <v>329</v>
      </c>
      <c r="E147" s="62"/>
      <c r="F147" s="65">
        <v>1.8632</v>
      </c>
      <c r="G147" s="62"/>
      <c r="H147" s="62"/>
      <c r="I147" s="62"/>
      <c r="J147" s="62"/>
      <c r="K147" s="66"/>
    </row>
    <row r="148" spans="1:76" x14ac:dyDescent="0.25">
      <c r="A148" s="67" t="s">
        <v>330</v>
      </c>
      <c r="B148" s="68" t="s">
        <v>331</v>
      </c>
      <c r="C148" s="135" t="s">
        <v>332</v>
      </c>
      <c r="D148" s="136"/>
      <c r="E148" s="68" t="s">
        <v>192</v>
      </c>
      <c r="F148" s="69">
        <v>4.6413099999999998</v>
      </c>
      <c r="G148" s="69">
        <v>0</v>
      </c>
      <c r="H148" s="69">
        <f>F148*AO148</f>
        <v>0</v>
      </c>
      <c r="I148" s="69">
        <f>F148*AP148</f>
        <v>0</v>
      </c>
      <c r="J148" s="69">
        <f>F148*G148</f>
        <v>0</v>
      </c>
      <c r="K148" s="70" t="s">
        <v>69</v>
      </c>
      <c r="Z148" s="47">
        <f>IF(AQ148="5",BJ148,0)</f>
        <v>0</v>
      </c>
      <c r="AB148" s="47">
        <f>IF(AQ148="1",BH148,0)</f>
        <v>0</v>
      </c>
      <c r="AC148" s="47">
        <f>IF(AQ148="1",BI148,0)</f>
        <v>0</v>
      </c>
      <c r="AD148" s="47">
        <f>IF(AQ148="7",BH148,0)</f>
        <v>0</v>
      </c>
      <c r="AE148" s="47">
        <f>IF(AQ148="7",BI148,0)</f>
        <v>0</v>
      </c>
      <c r="AF148" s="47">
        <f>IF(AQ148="2",BH148,0)</f>
        <v>0</v>
      </c>
      <c r="AG148" s="47">
        <f>IF(AQ148="2",BI148,0)</f>
        <v>0</v>
      </c>
      <c r="AH148" s="47">
        <f>IF(AQ148="0",BJ148,0)</f>
        <v>0</v>
      </c>
      <c r="AI148" s="30" t="s">
        <v>54</v>
      </c>
      <c r="AJ148" s="47">
        <f>IF(AN148=0,J148,0)</f>
        <v>0</v>
      </c>
      <c r="AK148" s="47">
        <f>IF(AN148=12,J148,0)</f>
        <v>0</v>
      </c>
      <c r="AL148" s="47">
        <f>IF(AN148=21,J148,0)</f>
        <v>0</v>
      </c>
      <c r="AN148" s="47">
        <v>21</v>
      </c>
      <c r="AO148" s="47">
        <f>G148*0</f>
        <v>0</v>
      </c>
      <c r="AP148" s="47">
        <f>G148*(1-0)</f>
        <v>0</v>
      </c>
      <c r="AQ148" s="49" t="s">
        <v>92</v>
      </c>
      <c r="AV148" s="47">
        <f>AW148+AX148</f>
        <v>0</v>
      </c>
      <c r="AW148" s="47">
        <f>F148*AO148</f>
        <v>0</v>
      </c>
      <c r="AX148" s="47">
        <f>F148*AP148</f>
        <v>0</v>
      </c>
      <c r="AY148" s="49" t="s">
        <v>326</v>
      </c>
      <c r="AZ148" s="49" t="s">
        <v>62</v>
      </c>
      <c r="BA148" s="30" t="s">
        <v>63</v>
      </c>
      <c r="BC148" s="47">
        <f>AW148+AX148</f>
        <v>0</v>
      </c>
      <c r="BD148" s="47">
        <f>G148/(100-BE148)*100</f>
        <v>0</v>
      </c>
      <c r="BE148" s="47">
        <v>0</v>
      </c>
      <c r="BF148" s="47">
        <f>148</f>
        <v>148</v>
      </c>
      <c r="BH148" s="47">
        <f>F148*AO148</f>
        <v>0</v>
      </c>
      <c r="BI148" s="47">
        <f>F148*AP148</f>
        <v>0</v>
      </c>
      <c r="BJ148" s="47">
        <f>F148*G148</f>
        <v>0</v>
      </c>
      <c r="BK148" s="47"/>
      <c r="BL148" s="47">
        <v>97</v>
      </c>
      <c r="BW148" s="47">
        <v>21</v>
      </c>
      <c r="BX148" s="50" t="s">
        <v>332</v>
      </c>
    </row>
    <row r="149" spans="1:76" ht="13.5" customHeight="1" x14ac:dyDescent="0.25">
      <c r="A149" s="107"/>
      <c r="C149" s="128" t="s">
        <v>235</v>
      </c>
      <c r="D149" s="129"/>
      <c r="E149" s="129"/>
      <c r="F149" s="129"/>
      <c r="G149" s="129"/>
      <c r="H149" s="129"/>
      <c r="I149" s="129"/>
      <c r="J149" s="129"/>
      <c r="K149" s="130"/>
    </row>
    <row r="150" spans="1:76" x14ac:dyDescent="0.25">
      <c r="A150" s="51" t="s">
        <v>50</v>
      </c>
      <c r="B150" s="52" t="s">
        <v>333</v>
      </c>
      <c r="C150" s="131" t="s">
        <v>334</v>
      </c>
      <c r="D150" s="132"/>
      <c r="E150" s="53" t="s">
        <v>4</v>
      </c>
      <c r="F150" s="53" t="s">
        <v>4</v>
      </c>
      <c r="G150" s="53" t="s">
        <v>4</v>
      </c>
      <c r="H150" s="54">
        <f>SUM(H151:H157)</f>
        <v>0</v>
      </c>
      <c r="I150" s="54">
        <f>SUM(I151:I157)</f>
        <v>0</v>
      </c>
      <c r="J150" s="54">
        <f>SUM(J151:J157)</f>
        <v>0</v>
      </c>
      <c r="K150" s="55" t="s">
        <v>50</v>
      </c>
      <c r="AI150" s="30" t="s">
        <v>54</v>
      </c>
      <c r="AS150" s="24">
        <f>SUM(AJ151:AJ157)</f>
        <v>0</v>
      </c>
      <c r="AT150" s="24">
        <f>SUM(AK151:AK157)</f>
        <v>0</v>
      </c>
      <c r="AU150" s="24">
        <f>SUM(AL151:AL157)</f>
        <v>0</v>
      </c>
    </row>
    <row r="151" spans="1:76" ht="25.5" x14ac:dyDescent="0.25">
      <c r="A151" s="56" t="s">
        <v>335</v>
      </c>
      <c r="B151" s="57" t="s">
        <v>336</v>
      </c>
      <c r="C151" s="133" t="s">
        <v>337</v>
      </c>
      <c r="D151" s="134"/>
      <c r="E151" s="57" t="s">
        <v>68</v>
      </c>
      <c r="F151" s="58">
        <v>8</v>
      </c>
      <c r="G151" s="58">
        <v>0</v>
      </c>
      <c r="H151" s="58">
        <f>F151*AO151</f>
        <v>0</v>
      </c>
      <c r="I151" s="58">
        <f>F151*AP151</f>
        <v>0</v>
      </c>
      <c r="J151" s="58">
        <f>F151*G151</f>
        <v>0</v>
      </c>
      <c r="K151" s="59" t="s">
        <v>95</v>
      </c>
      <c r="Z151" s="47">
        <f>IF(AQ151="5",BJ151,0)</f>
        <v>0</v>
      </c>
      <c r="AB151" s="47">
        <f>IF(AQ151="1",BH151,0)</f>
        <v>0</v>
      </c>
      <c r="AC151" s="47">
        <f>IF(AQ151="1",BI151,0)</f>
        <v>0</v>
      </c>
      <c r="AD151" s="47">
        <f>IF(AQ151="7",BH151,0)</f>
        <v>0</v>
      </c>
      <c r="AE151" s="47">
        <f>IF(AQ151="7",BI151,0)</f>
        <v>0</v>
      </c>
      <c r="AF151" s="47">
        <f>IF(AQ151="2",BH151,0)</f>
        <v>0</v>
      </c>
      <c r="AG151" s="47">
        <f>IF(AQ151="2",BI151,0)</f>
        <v>0</v>
      </c>
      <c r="AH151" s="47">
        <f>IF(AQ151="0",BJ151,0)</f>
        <v>0</v>
      </c>
      <c r="AI151" s="30" t="s">
        <v>54</v>
      </c>
      <c r="AJ151" s="47">
        <f>IF(AN151=0,J151,0)</f>
        <v>0</v>
      </c>
      <c r="AK151" s="47">
        <f>IF(AN151=12,J151,0)</f>
        <v>0</v>
      </c>
      <c r="AL151" s="47">
        <f>IF(AN151=21,J151,0)</f>
        <v>0</v>
      </c>
      <c r="AN151" s="47">
        <v>21</v>
      </c>
      <c r="AO151" s="47">
        <f>G151*0.779340979</f>
        <v>0</v>
      </c>
      <c r="AP151" s="47">
        <f>G151*(1-0.779340979)</f>
        <v>0</v>
      </c>
      <c r="AQ151" s="49" t="s">
        <v>60</v>
      </c>
      <c r="AV151" s="47">
        <f>AW151+AX151</f>
        <v>0</v>
      </c>
      <c r="AW151" s="47">
        <f>F151*AO151</f>
        <v>0</v>
      </c>
      <c r="AX151" s="47">
        <f>F151*AP151</f>
        <v>0</v>
      </c>
      <c r="AY151" s="49" t="s">
        <v>338</v>
      </c>
      <c r="AZ151" s="49" t="s">
        <v>62</v>
      </c>
      <c r="BA151" s="30" t="s">
        <v>63</v>
      </c>
      <c r="BC151" s="47">
        <f>AW151+AX151</f>
        <v>0</v>
      </c>
      <c r="BD151" s="47">
        <f>G151/(100-BE151)*100</f>
        <v>0</v>
      </c>
      <c r="BE151" s="47">
        <v>0</v>
      </c>
      <c r="BF151" s="47">
        <f>151</f>
        <v>151</v>
      </c>
      <c r="BH151" s="47">
        <f>F151*AO151</f>
        <v>0</v>
      </c>
      <c r="BI151" s="47">
        <f>F151*AP151</f>
        <v>0</v>
      </c>
      <c r="BJ151" s="47">
        <f>F151*G151</f>
        <v>0</v>
      </c>
      <c r="BK151" s="47"/>
      <c r="BL151" s="47"/>
      <c r="BW151" s="47">
        <v>21</v>
      </c>
      <c r="BX151" s="50" t="s">
        <v>337</v>
      </c>
    </row>
    <row r="152" spans="1:76" ht="27" customHeight="1" x14ac:dyDescent="0.25">
      <c r="A152" s="60"/>
      <c r="C152" s="117" t="s">
        <v>339</v>
      </c>
      <c r="D152" s="118"/>
      <c r="E152" s="118"/>
      <c r="F152" s="118"/>
      <c r="G152" s="118"/>
      <c r="H152" s="118"/>
      <c r="I152" s="118"/>
      <c r="J152" s="118"/>
      <c r="K152" s="119"/>
    </row>
    <row r="153" spans="1:76" x14ac:dyDescent="0.25">
      <c r="A153" s="61"/>
      <c r="B153" s="62"/>
      <c r="C153" s="63" t="s">
        <v>115</v>
      </c>
      <c r="D153" s="64" t="s">
        <v>50</v>
      </c>
      <c r="E153" s="62"/>
      <c r="F153" s="65">
        <v>8</v>
      </c>
      <c r="G153" s="62"/>
      <c r="H153" s="62"/>
      <c r="I153" s="62"/>
      <c r="J153" s="62"/>
      <c r="K153" s="66"/>
    </row>
    <row r="154" spans="1:76" ht="25.5" x14ac:dyDescent="0.25">
      <c r="A154" s="67" t="s">
        <v>340</v>
      </c>
      <c r="B154" s="68" t="s">
        <v>341</v>
      </c>
      <c r="C154" s="135" t="s">
        <v>342</v>
      </c>
      <c r="D154" s="136"/>
      <c r="E154" s="68" t="s">
        <v>68</v>
      </c>
      <c r="F154" s="69">
        <v>6</v>
      </c>
      <c r="G154" s="69">
        <v>0</v>
      </c>
      <c r="H154" s="69">
        <f>F154*AO154</f>
        <v>0</v>
      </c>
      <c r="I154" s="69">
        <f>F154*AP154</f>
        <v>0</v>
      </c>
      <c r="J154" s="69">
        <f>F154*G154</f>
        <v>0</v>
      </c>
      <c r="K154" s="70" t="s">
        <v>95</v>
      </c>
      <c r="Z154" s="47">
        <f>IF(AQ154="5",BJ154,0)</f>
        <v>0</v>
      </c>
      <c r="AB154" s="47">
        <f>IF(AQ154="1",BH154,0)</f>
        <v>0</v>
      </c>
      <c r="AC154" s="47">
        <f>IF(AQ154="1",BI154,0)</f>
        <v>0</v>
      </c>
      <c r="AD154" s="47">
        <f>IF(AQ154="7",BH154,0)</f>
        <v>0</v>
      </c>
      <c r="AE154" s="47">
        <f>IF(AQ154="7",BI154,0)</f>
        <v>0</v>
      </c>
      <c r="AF154" s="47">
        <f>IF(AQ154="2",BH154,0)</f>
        <v>0</v>
      </c>
      <c r="AG154" s="47">
        <f>IF(AQ154="2",BI154,0)</f>
        <v>0</v>
      </c>
      <c r="AH154" s="47">
        <f>IF(AQ154="0",BJ154,0)</f>
        <v>0</v>
      </c>
      <c r="AI154" s="30" t="s">
        <v>54</v>
      </c>
      <c r="AJ154" s="47">
        <f>IF(AN154=0,J154,0)</f>
        <v>0</v>
      </c>
      <c r="AK154" s="47">
        <f>IF(AN154=12,J154,0)</f>
        <v>0</v>
      </c>
      <c r="AL154" s="47">
        <f>IF(AN154=21,J154,0)</f>
        <v>0</v>
      </c>
      <c r="AN154" s="47">
        <v>21</v>
      </c>
      <c r="AO154" s="47">
        <f>G154*0.779341176</f>
        <v>0</v>
      </c>
      <c r="AP154" s="47">
        <f>G154*(1-0.779341176)</f>
        <v>0</v>
      </c>
      <c r="AQ154" s="49" t="s">
        <v>60</v>
      </c>
      <c r="AV154" s="47">
        <f>AW154+AX154</f>
        <v>0</v>
      </c>
      <c r="AW154" s="47">
        <f>F154*AO154</f>
        <v>0</v>
      </c>
      <c r="AX154" s="47">
        <f>F154*AP154</f>
        <v>0</v>
      </c>
      <c r="AY154" s="49" t="s">
        <v>338</v>
      </c>
      <c r="AZ154" s="49" t="s">
        <v>62</v>
      </c>
      <c r="BA154" s="30" t="s">
        <v>63</v>
      </c>
      <c r="BC154" s="47">
        <f>AW154+AX154</f>
        <v>0</v>
      </c>
      <c r="BD154" s="47">
        <f>G154/(100-BE154)*100</f>
        <v>0</v>
      </c>
      <c r="BE154" s="47">
        <v>0</v>
      </c>
      <c r="BF154" s="47">
        <f>154</f>
        <v>154</v>
      </c>
      <c r="BH154" s="47">
        <f>F154*AO154</f>
        <v>0</v>
      </c>
      <c r="BI154" s="47">
        <f>F154*AP154</f>
        <v>0</v>
      </c>
      <c r="BJ154" s="47">
        <f>F154*G154</f>
        <v>0</v>
      </c>
      <c r="BK154" s="47"/>
      <c r="BL154" s="47"/>
      <c r="BW154" s="47">
        <v>21</v>
      </c>
      <c r="BX154" s="50" t="s">
        <v>342</v>
      </c>
    </row>
    <row r="155" spans="1:76" ht="27" customHeight="1" x14ac:dyDescent="0.25">
      <c r="A155" s="60"/>
      <c r="C155" s="117" t="s">
        <v>343</v>
      </c>
      <c r="D155" s="118"/>
      <c r="E155" s="118"/>
      <c r="F155" s="118"/>
      <c r="G155" s="118"/>
      <c r="H155" s="118"/>
      <c r="I155" s="118"/>
      <c r="J155" s="118"/>
      <c r="K155" s="119"/>
    </row>
    <row r="156" spans="1:76" x14ac:dyDescent="0.25">
      <c r="A156" s="61"/>
      <c r="B156" s="62"/>
      <c r="C156" s="63" t="s">
        <v>98</v>
      </c>
      <c r="D156" s="64" t="s">
        <v>50</v>
      </c>
      <c r="E156" s="62"/>
      <c r="F156" s="65">
        <v>6</v>
      </c>
      <c r="G156" s="62"/>
      <c r="H156" s="62"/>
      <c r="I156" s="62"/>
      <c r="J156" s="62"/>
      <c r="K156" s="66"/>
    </row>
    <row r="157" spans="1:76" x14ac:dyDescent="0.25">
      <c r="A157" s="98" t="s">
        <v>344</v>
      </c>
      <c r="B157" s="99" t="s">
        <v>345</v>
      </c>
      <c r="C157" s="120" t="s">
        <v>346</v>
      </c>
      <c r="D157" s="121"/>
      <c r="E157" s="99" t="s">
        <v>68</v>
      </c>
      <c r="F157" s="100">
        <v>1</v>
      </c>
      <c r="G157" s="100">
        <v>0</v>
      </c>
      <c r="H157" s="100">
        <f>F157*AO157</f>
        <v>0</v>
      </c>
      <c r="I157" s="100">
        <f>F157*AP157</f>
        <v>0</v>
      </c>
      <c r="J157" s="100">
        <f>F157*G157</f>
        <v>0</v>
      </c>
      <c r="K157" s="101" t="s">
        <v>95</v>
      </c>
      <c r="Z157" s="47">
        <f>IF(AQ157="5",BJ157,0)</f>
        <v>0</v>
      </c>
      <c r="AB157" s="47">
        <f>IF(AQ157="1",BH157,0)</f>
        <v>0</v>
      </c>
      <c r="AC157" s="47">
        <f>IF(AQ157="1",BI157,0)</f>
        <v>0</v>
      </c>
      <c r="AD157" s="47">
        <f>IF(AQ157="7",BH157,0)</f>
        <v>0</v>
      </c>
      <c r="AE157" s="47">
        <f>IF(AQ157="7",BI157,0)</f>
        <v>0</v>
      </c>
      <c r="AF157" s="47">
        <f>IF(AQ157="2",BH157,0)</f>
        <v>0</v>
      </c>
      <c r="AG157" s="47">
        <f>IF(AQ157="2",BI157,0)</f>
        <v>0</v>
      </c>
      <c r="AH157" s="47">
        <f>IF(AQ157="0",BJ157,0)</f>
        <v>0</v>
      </c>
      <c r="AI157" s="30" t="s">
        <v>54</v>
      </c>
      <c r="AJ157" s="47">
        <f>IF(AN157=0,J157,0)</f>
        <v>0</v>
      </c>
      <c r="AK157" s="47">
        <f>IF(AN157=12,J157,0)</f>
        <v>0</v>
      </c>
      <c r="AL157" s="47">
        <f>IF(AN157=21,J157,0)</f>
        <v>0</v>
      </c>
      <c r="AN157" s="47">
        <v>21</v>
      </c>
      <c r="AO157" s="47">
        <f>G157*0.779341333</f>
        <v>0</v>
      </c>
      <c r="AP157" s="47">
        <f>G157*(1-0.779341333)</f>
        <v>0</v>
      </c>
      <c r="AQ157" s="49" t="s">
        <v>60</v>
      </c>
      <c r="AV157" s="47">
        <f>AW157+AX157</f>
        <v>0</v>
      </c>
      <c r="AW157" s="47">
        <f>F157*AO157</f>
        <v>0</v>
      </c>
      <c r="AX157" s="47">
        <f>F157*AP157</f>
        <v>0</v>
      </c>
      <c r="AY157" s="49" t="s">
        <v>338</v>
      </c>
      <c r="AZ157" s="49" t="s">
        <v>62</v>
      </c>
      <c r="BA157" s="30" t="s">
        <v>63</v>
      </c>
      <c r="BC157" s="47">
        <f>AW157+AX157</f>
        <v>0</v>
      </c>
      <c r="BD157" s="47">
        <f>G157/(100-BE157)*100</f>
        <v>0</v>
      </c>
      <c r="BE157" s="47">
        <v>0</v>
      </c>
      <c r="BF157" s="47">
        <f>157</f>
        <v>157</v>
      </c>
      <c r="BH157" s="47">
        <f>F157*AO157</f>
        <v>0</v>
      </c>
      <c r="BI157" s="47">
        <f>F157*AP157</f>
        <v>0</v>
      </c>
      <c r="BJ157" s="47">
        <f>F157*G157</f>
        <v>0</v>
      </c>
      <c r="BK157" s="47"/>
      <c r="BL157" s="47"/>
      <c r="BW157" s="47">
        <v>21</v>
      </c>
      <c r="BX157" s="50" t="s">
        <v>346</v>
      </c>
    </row>
    <row r="158" spans="1:76" ht="13.5" customHeight="1" x14ac:dyDescent="0.25">
      <c r="A158" s="108"/>
      <c r="C158" s="122" t="s">
        <v>347</v>
      </c>
      <c r="D158" s="123"/>
      <c r="E158" s="123"/>
      <c r="F158" s="123"/>
      <c r="G158" s="123"/>
      <c r="H158" s="123"/>
      <c r="I158" s="123"/>
      <c r="J158" s="123"/>
      <c r="K158" s="124"/>
    </row>
    <row r="159" spans="1:76" x14ac:dyDescent="0.25">
      <c r="A159" s="109"/>
      <c r="B159" s="110"/>
      <c r="C159" s="111" t="s">
        <v>55</v>
      </c>
      <c r="D159" s="112" t="s">
        <v>237</v>
      </c>
      <c r="E159" s="110"/>
      <c r="F159" s="113">
        <v>1</v>
      </c>
      <c r="G159" s="110"/>
      <c r="H159" s="110"/>
      <c r="I159" s="110"/>
      <c r="J159" s="110"/>
      <c r="K159" s="114"/>
    </row>
    <row r="160" spans="1:76" x14ac:dyDescent="0.25">
      <c r="H160" s="125" t="s">
        <v>348</v>
      </c>
      <c r="I160" s="125"/>
      <c r="J160" s="115">
        <f>J13+J15+J22+J34+J46+J51+J58+J63+J67+J76+J86+J102+J110+J119+J131+J144+J150</f>
        <v>0</v>
      </c>
    </row>
    <row r="161" spans="1:11" x14ac:dyDescent="0.25">
      <c r="A161" s="116" t="s">
        <v>349</v>
      </c>
    </row>
    <row r="162" spans="1:11" ht="12.75" customHeight="1" x14ac:dyDescent="0.25">
      <c r="A162" s="126" t="s">
        <v>50</v>
      </c>
      <c r="B162" s="127"/>
      <c r="C162" s="127"/>
      <c r="D162" s="127"/>
      <c r="E162" s="127"/>
      <c r="F162" s="127"/>
      <c r="G162" s="127"/>
      <c r="H162" s="127"/>
      <c r="I162" s="127"/>
      <c r="J162" s="127"/>
      <c r="K162" s="127"/>
    </row>
  </sheetData>
  <mergeCells count="131">
    <mergeCell ref="A1:K1"/>
    <mergeCell ref="A2:B3"/>
    <mergeCell ref="A4:B5"/>
    <mergeCell ref="A6:B7"/>
    <mergeCell ref="A8:B9"/>
    <mergeCell ref="E2:F3"/>
    <mergeCell ref="E4:F5"/>
    <mergeCell ref="E6:F7"/>
    <mergeCell ref="E8:F9"/>
    <mergeCell ref="H2:H3"/>
    <mergeCell ref="H4:H5"/>
    <mergeCell ref="H6:H7"/>
    <mergeCell ref="H8:H9"/>
    <mergeCell ref="C2:D3"/>
    <mergeCell ref="C4:D5"/>
    <mergeCell ref="C6:D7"/>
    <mergeCell ref="C11:D11"/>
    <mergeCell ref="H10:J10"/>
    <mergeCell ref="C12:D12"/>
    <mergeCell ref="C13:D13"/>
    <mergeCell ref="C14:D14"/>
    <mergeCell ref="I2:K3"/>
    <mergeCell ref="I4:K5"/>
    <mergeCell ref="I6:K7"/>
    <mergeCell ref="I8:K9"/>
    <mergeCell ref="C10:D10"/>
    <mergeCell ref="C8:D9"/>
    <mergeCell ref="G2:G3"/>
    <mergeCell ref="G4:G5"/>
    <mergeCell ref="G6:G7"/>
    <mergeCell ref="G8:G9"/>
    <mergeCell ref="C22:D22"/>
    <mergeCell ref="C23:D23"/>
    <mergeCell ref="C24:K24"/>
    <mergeCell ref="C26:K26"/>
    <mergeCell ref="C27:D27"/>
    <mergeCell ref="C15:D15"/>
    <mergeCell ref="C16:D16"/>
    <mergeCell ref="C17:K17"/>
    <mergeCell ref="C19:D19"/>
    <mergeCell ref="C20:K20"/>
    <mergeCell ref="C36:K36"/>
    <mergeCell ref="C38:K38"/>
    <mergeCell ref="C39:D39"/>
    <mergeCell ref="C40:K40"/>
    <mergeCell ref="C42:K42"/>
    <mergeCell ref="C30:K30"/>
    <mergeCell ref="C31:D31"/>
    <mergeCell ref="C32:K32"/>
    <mergeCell ref="C34:D34"/>
    <mergeCell ref="C35:D35"/>
    <mergeCell ref="C51:D51"/>
    <mergeCell ref="C52:D52"/>
    <mergeCell ref="C53:K53"/>
    <mergeCell ref="C55:D55"/>
    <mergeCell ref="C56:K56"/>
    <mergeCell ref="C43:D43"/>
    <mergeCell ref="C44:K44"/>
    <mergeCell ref="C46:D46"/>
    <mergeCell ref="C47:D47"/>
    <mergeCell ref="C49:D49"/>
    <mergeCell ref="C64:D64"/>
    <mergeCell ref="C65:K65"/>
    <mergeCell ref="C67:D67"/>
    <mergeCell ref="C68:D68"/>
    <mergeCell ref="C70:D70"/>
    <mergeCell ref="C58:D58"/>
    <mergeCell ref="C59:D59"/>
    <mergeCell ref="C60:K60"/>
    <mergeCell ref="C62:K62"/>
    <mergeCell ref="C63:D63"/>
    <mergeCell ref="C79:D79"/>
    <mergeCell ref="C80:K80"/>
    <mergeCell ref="C82:D82"/>
    <mergeCell ref="C83:K83"/>
    <mergeCell ref="C85:K85"/>
    <mergeCell ref="C71:K71"/>
    <mergeCell ref="C73:D73"/>
    <mergeCell ref="C75:D75"/>
    <mergeCell ref="C76:D76"/>
    <mergeCell ref="C77:D77"/>
    <mergeCell ref="C93:K93"/>
    <mergeCell ref="C95:D95"/>
    <mergeCell ref="C97:D97"/>
    <mergeCell ref="C98:K98"/>
    <mergeCell ref="C100:D100"/>
    <mergeCell ref="C86:D86"/>
    <mergeCell ref="C87:D87"/>
    <mergeCell ref="C88:K88"/>
    <mergeCell ref="C90:D90"/>
    <mergeCell ref="C92:D92"/>
    <mergeCell ref="C111:D111"/>
    <mergeCell ref="C112:K112"/>
    <mergeCell ref="C115:D115"/>
    <mergeCell ref="C116:K116"/>
    <mergeCell ref="C119:D119"/>
    <mergeCell ref="C102:D102"/>
    <mergeCell ref="C103:D103"/>
    <mergeCell ref="C105:D105"/>
    <mergeCell ref="C106:K106"/>
    <mergeCell ref="C110:D110"/>
    <mergeCell ref="C127:K127"/>
    <mergeCell ref="C129:D129"/>
    <mergeCell ref="C131:D131"/>
    <mergeCell ref="C132:D132"/>
    <mergeCell ref="C133:K133"/>
    <mergeCell ref="C120:D120"/>
    <mergeCell ref="C121:K121"/>
    <mergeCell ref="C123:D123"/>
    <mergeCell ref="C124:K124"/>
    <mergeCell ref="C126:D126"/>
    <mergeCell ref="C142:K142"/>
    <mergeCell ref="C144:D144"/>
    <mergeCell ref="C145:D145"/>
    <mergeCell ref="C146:K146"/>
    <mergeCell ref="C148:D148"/>
    <mergeCell ref="C135:D135"/>
    <mergeCell ref="C137:K137"/>
    <mergeCell ref="C138:D138"/>
    <mergeCell ref="C140:K140"/>
    <mergeCell ref="C141:D141"/>
    <mergeCell ref="C155:K155"/>
    <mergeCell ref="C157:D157"/>
    <mergeCell ref="C158:K158"/>
    <mergeCell ref="H160:I160"/>
    <mergeCell ref="A162:K162"/>
    <mergeCell ref="C149:K149"/>
    <mergeCell ref="C150:D150"/>
    <mergeCell ref="C151:D151"/>
    <mergeCell ref="C152:K152"/>
    <mergeCell ref="C154:D154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6"/>
  <sheetViews>
    <sheetView workbookViewId="0">
      <selection activeCell="A36" sqref="A36:E36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7.140625" customWidth="1"/>
    <col min="9" max="9" width="22.85546875" customWidth="1"/>
  </cols>
  <sheetData>
    <row r="1" spans="1:9" ht="54.75" customHeight="1" x14ac:dyDescent="0.25">
      <c r="A1" s="210" t="s">
        <v>396</v>
      </c>
      <c r="B1" s="211"/>
      <c r="C1" s="211"/>
      <c r="D1" s="211"/>
      <c r="E1" s="211"/>
      <c r="F1" s="211"/>
      <c r="G1" s="211"/>
      <c r="H1" s="211"/>
      <c r="I1" s="211"/>
    </row>
    <row r="2" spans="1:9" x14ac:dyDescent="0.25">
      <c r="A2" s="212" t="s">
        <v>1</v>
      </c>
      <c r="B2" s="213"/>
      <c r="C2" s="218" t="str">
        <f>'Stavební rozpočet'!C2</f>
        <v>Stavební úpravy tělocvičny v Řeznovicích - práce 2M</v>
      </c>
      <c r="D2" s="219"/>
      <c r="E2" s="209" t="s">
        <v>5</v>
      </c>
      <c r="F2" s="209" t="str">
        <f>'Stavební rozpočet'!I2</f>
        <v>Město ivančice</v>
      </c>
      <c r="G2" s="213"/>
      <c r="H2" s="209" t="s">
        <v>351</v>
      </c>
      <c r="I2" s="215" t="s">
        <v>352</v>
      </c>
    </row>
    <row r="3" spans="1:9" ht="15" customHeight="1" x14ac:dyDescent="0.25">
      <c r="A3" s="214"/>
      <c r="B3" s="170"/>
      <c r="C3" s="220"/>
      <c r="D3" s="220"/>
      <c r="E3" s="170"/>
      <c r="F3" s="170"/>
      <c r="G3" s="170"/>
      <c r="H3" s="170"/>
      <c r="I3" s="216"/>
    </row>
    <row r="4" spans="1:9" x14ac:dyDescent="0.25">
      <c r="A4" s="207" t="s">
        <v>7</v>
      </c>
      <c r="B4" s="170"/>
      <c r="C4" s="169" t="str">
        <f>'Stavební rozpočet'!C4</f>
        <v>Občanská vybavenost</v>
      </c>
      <c r="D4" s="170"/>
      <c r="E4" s="169" t="s">
        <v>10</v>
      </c>
      <c r="F4" s="169" t="str">
        <f>'Stavební rozpočet'!I4</f>
        <v>Tomáš Sýkora</v>
      </c>
      <c r="G4" s="170"/>
      <c r="H4" s="169" t="s">
        <v>351</v>
      </c>
      <c r="I4" s="216" t="s">
        <v>353</v>
      </c>
    </row>
    <row r="5" spans="1:9" ht="15" customHeight="1" x14ac:dyDescent="0.25">
      <c r="A5" s="214"/>
      <c r="B5" s="170"/>
      <c r="C5" s="170"/>
      <c r="D5" s="170"/>
      <c r="E5" s="170"/>
      <c r="F5" s="170"/>
      <c r="G5" s="170"/>
      <c r="H5" s="170"/>
      <c r="I5" s="216"/>
    </row>
    <row r="6" spans="1:9" x14ac:dyDescent="0.25">
      <c r="A6" s="207" t="s">
        <v>12</v>
      </c>
      <c r="B6" s="170"/>
      <c r="C6" s="169" t="str">
        <f>'Stavební rozpočet'!C6</f>
        <v>Parcela č. 303, 302/1, k.ú. Řeznovice [745421]</v>
      </c>
      <c r="D6" s="170"/>
      <c r="E6" s="169" t="s">
        <v>15</v>
      </c>
      <c r="F6" s="169" t="str">
        <f>'Stavební rozpočet'!I6</f>
        <v> </v>
      </c>
      <c r="G6" s="170"/>
      <c r="H6" s="169" t="s">
        <v>351</v>
      </c>
      <c r="I6" s="216" t="s">
        <v>50</v>
      </c>
    </row>
    <row r="7" spans="1:9" ht="15" customHeight="1" x14ac:dyDescent="0.25">
      <c r="A7" s="214"/>
      <c r="B7" s="170"/>
      <c r="C7" s="170"/>
      <c r="D7" s="170"/>
      <c r="E7" s="170"/>
      <c r="F7" s="170"/>
      <c r="G7" s="170"/>
      <c r="H7" s="170"/>
      <c r="I7" s="216"/>
    </row>
    <row r="8" spans="1:9" x14ac:dyDescent="0.25">
      <c r="A8" s="207" t="s">
        <v>9</v>
      </c>
      <c r="B8" s="170"/>
      <c r="C8" s="169" t="str">
        <f>'Stavební rozpočet'!G4</f>
        <v xml:space="preserve"> </v>
      </c>
      <c r="D8" s="170"/>
      <c r="E8" s="169" t="s">
        <v>14</v>
      </c>
      <c r="F8" s="169" t="str">
        <f>'Stavební rozpočet'!G6</f>
        <v xml:space="preserve"> </v>
      </c>
      <c r="G8" s="170"/>
      <c r="H8" s="170" t="s">
        <v>354</v>
      </c>
      <c r="I8" s="217">
        <v>45</v>
      </c>
    </row>
    <row r="9" spans="1:9" x14ac:dyDescent="0.25">
      <c r="A9" s="214"/>
      <c r="B9" s="170"/>
      <c r="C9" s="170"/>
      <c r="D9" s="170"/>
      <c r="E9" s="170"/>
      <c r="F9" s="170"/>
      <c r="G9" s="170"/>
      <c r="H9" s="170"/>
      <c r="I9" s="216"/>
    </row>
    <row r="10" spans="1:9" x14ac:dyDescent="0.25">
      <c r="A10" s="207" t="s">
        <v>17</v>
      </c>
      <c r="B10" s="170"/>
      <c r="C10" s="169" t="str">
        <f>'Stavební rozpočet'!C8</f>
        <v>8015114</v>
      </c>
      <c r="D10" s="170"/>
      <c r="E10" s="169" t="s">
        <v>20</v>
      </c>
      <c r="F10" s="169" t="str">
        <f>'Stavební rozpočet'!I8</f>
        <v>Tomáš Sýkora</v>
      </c>
      <c r="G10" s="170"/>
      <c r="H10" s="170" t="s">
        <v>355</v>
      </c>
      <c r="I10" s="201">
        <f>'Stavební rozpočet'!G8</f>
        <v>0</v>
      </c>
    </row>
    <row r="11" spans="1:9" x14ac:dyDescent="0.25">
      <c r="A11" s="208"/>
      <c r="B11" s="206"/>
      <c r="C11" s="206"/>
      <c r="D11" s="206"/>
      <c r="E11" s="206"/>
      <c r="F11" s="206"/>
      <c r="G11" s="206"/>
      <c r="H11" s="206"/>
      <c r="I11" s="202"/>
    </row>
    <row r="13" spans="1:9" ht="15.75" x14ac:dyDescent="0.25">
      <c r="A13" s="230" t="s">
        <v>397</v>
      </c>
      <c r="B13" s="230"/>
      <c r="C13" s="230"/>
      <c r="D13" s="230"/>
      <c r="E13" s="230"/>
    </row>
    <row r="14" spans="1:9" x14ac:dyDescent="0.25">
      <c r="A14" s="231" t="s">
        <v>398</v>
      </c>
      <c r="B14" s="232"/>
      <c r="C14" s="232"/>
      <c r="D14" s="232"/>
      <c r="E14" s="233"/>
      <c r="F14" s="15" t="s">
        <v>399</v>
      </c>
      <c r="G14" s="15" t="s">
        <v>198</v>
      </c>
      <c r="H14" s="15" t="s">
        <v>400</v>
      </c>
      <c r="I14" s="15" t="s">
        <v>399</v>
      </c>
    </row>
    <row r="15" spans="1:9" x14ac:dyDescent="0.25">
      <c r="A15" s="237" t="s">
        <v>365</v>
      </c>
      <c r="B15" s="238"/>
      <c r="C15" s="238"/>
      <c r="D15" s="238"/>
      <c r="E15" s="239"/>
      <c r="F15" s="16">
        <v>0</v>
      </c>
      <c r="G15" s="17" t="s">
        <v>50</v>
      </c>
      <c r="H15" s="17" t="s">
        <v>50</v>
      </c>
      <c r="I15" s="16">
        <f>F15</f>
        <v>0</v>
      </c>
    </row>
    <row r="16" spans="1:9" x14ac:dyDescent="0.25">
      <c r="A16" s="237" t="s">
        <v>367</v>
      </c>
      <c r="B16" s="238"/>
      <c r="C16" s="238"/>
      <c r="D16" s="238"/>
      <c r="E16" s="239"/>
      <c r="F16" s="16">
        <v>0</v>
      </c>
      <c r="G16" s="17" t="s">
        <v>50</v>
      </c>
      <c r="H16" s="17" t="s">
        <v>50</v>
      </c>
      <c r="I16" s="16">
        <f>F16</f>
        <v>0</v>
      </c>
    </row>
    <row r="17" spans="1:9" x14ac:dyDescent="0.25">
      <c r="A17" s="234" t="s">
        <v>370</v>
      </c>
      <c r="B17" s="235"/>
      <c r="C17" s="235"/>
      <c r="D17" s="235"/>
      <c r="E17" s="236"/>
      <c r="F17" s="18">
        <v>0</v>
      </c>
      <c r="G17" s="19" t="s">
        <v>50</v>
      </c>
      <c r="H17" s="19" t="s">
        <v>50</v>
      </c>
      <c r="I17" s="18">
        <f>F17</f>
        <v>0</v>
      </c>
    </row>
    <row r="18" spans="1:9" x14ac:dyDescent="0.25">
      <c r="A18" s="221" t="s">
        <v>401</v>
      </c>
      <c r="B18" s="222"/>
      <c r="C18" s="222"/>
      <c r="D18" s="222"/>
      <c r="E18" s="223"/>
      <c r="F18" s="20" t="s">
        <v>50</v>
      </c>
      <c r="G18" s="21" t="s">
        <v>50</v>
      </c>
      <c r="H18" s="21" t="s">
        <v>50</v>
      </c>
      <c r="I18" s="22">
        <f>SUM(I15:I17)</f>
        <v>0</v>
      </c>
    </row>
    <row r="20" spans="1:9" x14ac:dyDescent="0.25">
      <c r="A20" s="231" t="s">
        <v>362</v>
      </c>
      <c r="B20" s="232"/>
      <c r="C20" s="232"/>
      <c r="D20" s="232"/>
      <c r="E20" s="233"/>
      <c r="F20" s="15" t="s">
        <v>399</v>
      </c>
      <c r="G20" s="15" t="s">
        <v>198</v>
      </c>
      <c r="H20" s="15" t="s">
        <v>400</v>
      </c>
      <c r="I20" s="15" t="s">
        <v>399</v>
      </c>
    </row>
    <row r="21" spans="1:9" x14ac:dyDescent="0.25">
      <c r="A21" s="237" t="s">
        <v>366</v>
      </c>
      <c r="B21" s="238"/>
      <c r="C21" s="238"/>
      <c r="D21" s="238"/>
      <c r="E21" s="239"/>
      <c r="F21" s="16">
        <v>0</v>
      </c>
      <c r="G21" s="17" t="s">
        <v>50</v>
      </c>
      <c r="H21" s="17" t="s">
        <v>50</v>
      </c>
      <c r="I21" s="16">
        <f t="shared" ref="I21:I26" si="0">F21</f>
        <v>0</v>
      </c>
    </row>
    <row r="22" spans="1:9" x14ac:dyDescent="0.25">
      <c r="A22" s="237" t="s">
        <v>368</v>
      </c>
      <c r="B22" s="238"/>
      <c r="C22" s="238"/>
      <c r="D22" s="238"/>
      <c r="E22" s="239"/>
      <c r="F22" s="16">
        <v>0</v>
      </c>
      <c r="G22" s="17" t="s">
        <v>50</v>
      </c>
      <c r="H22" s="17" t="s">
        <v>50</v>
      </c>
      <c r="I22" s="16">
        <f t="shared" si="0"/>
        <v>0</v>
      </c>
    </row>
    <row r="23" spans="1:9" x14ac:dyDescent="0.25">
      <c r="A23" s="237" t="s">
        <v>371</v>
      </c>
      <c r="B23" s="238"/>
      <c r="C23" s="238"/>
      <c r="D23" s="238"/>
      <c r="E23" s="239"/>
      <c r="F23" s="16">
        <v>0</v>
      </c>
      <c r="G23" s="17" t="s">
        <v>50</v>
      </c>
      <c r="H23" s="17" t="s">
        <v>50</v>
      </c>
      <c r="I23" s="16">
        <f t="shared" si="0"/>
        <v>0</v>
      </c>
    </row>
    <row r="24" spans="1:9" x14ac:dyDescent="0.25">
      <c r="A24" s="237" t="s">
        <v>372</v>
      </c>
      <c r="B24" s="238"/>
      <c r="C24" s="238"/>
      <c r="D24" s="238"/>
      <c r="E24" s="239"/>
      <c r="F24" s="16">
        <v>0</v>
      </c>
      <c r="G24" s="17" t="s">
        <v>50</v>
      </c>
      <c r="H24" s="17" t="s">
        <v>50</v>
      </c>
      <c r="I24" s="16">
        <f t="shared" si="0"/>
        <v>0</v>
      </c>
    </row>
    <row r="25" spans="1:9" x14ac:dyDescent="0.25">
      <c r="A25" s="237" t="s">
        <v>374</v>
      </c>
      <c r="B25" s="238"/>
      <c r="C25" s="238"/>
      <c r="D25" s="238"/>
      <c r="E25" s="239"/>
      <c r="F25" s="16">
        <v>0</v>
      </c>
      <c r="G25" s="17" t="s">
        <v>50</v>
      </c>
      <c r="H25" s="17" t="s">
        <v>50</v>
      </c>
      <c r="I25" s="16">
        <f t="shared" si="0"/>
        <v>0</v>
      </c>
    </row>
    <row r="26" spans="1:9" x14ac:dyDescent="0.25">
      <c r="A26" s="234" t="s">
        <v>375</v>
      </c>
      <c r="B26" s="235"/>
      <c r="C26" s="235"/>
      <c r="D26" s="235"/>
      <c r="E26" s="236"/>
      <c r="F26" s="18">
        <v>0</v>
      </c>
      <c r="G26" s="19" t="s">
        <v>50</v>
      </c>
      <c r="H26" s="19" t="s">
        <v>50</v>
      </c>
      <c r="I26" s="18">
        <f t="shared" si="0"/>
        <v>0</v>
      </c>
    </row>
    <row r="27" spans="1:9" x14ac:dyDescent="0.25">
      <c r="A27" s="221" t="s">
        <v>402</v>
      </c>
      <c r="B27" s="222"/>
      <c r="C27" s="222"/>
      <c r="D27" s="222"/>
      <c r="E27" s="223"/>
      <c r="F27" s="20" t="s">
        <v>50</v>
      </c>
      <c r="G27" s="21" t="s">
        <v>50</v>
      </c>
      <c r="H27" s="21" t="s">
        <v>50</v>
      </c>
      <c r="I27" s="22">
        <f>SUM(I21:I26)</f>
        <v>0</v>
      </c>
    </row>
    <row r="29" spans="1:9" ht="15.75" x14ac:dyDescent="0.25">
      <c r="A29" s="224" t="s">
        <v>403</v>
      </c>
      <c r="B29" s="225"/>
      <c r="C29" s="225"/>
      <c r="D29" s="225"/>
      <c r="E29" s="226"/>
      <c r="F29" s="227">
        <f>I18+I27</f>
        <v>0</v>
      </c>
      <c r="G29" s="228"/>
      <c r="H29" s="228"/>
      <c r="I29" s="229"/>
    </row>
    <row r="33" spans="1:9" ht="15.75" x14ac:dyDescent="0.25">
      <c r="A33" s="230" t="s">
        <v>404</v>
      </c>
      <c r="B33" s="230"/>
      <c r="C33" s="230"/>
      <c r="D33" s="230"/>
      <c r="E33" s="230"/>
    </row>
    <row r="34" spans="1:9" x14ac:dyDescent="0.25">
      <c r="A34" s="231" t="s">
        <v>405</v>
      </c>
      <c r="B34" s="232"/>
      <c r="C34" s="232"/>
      <c r="D34" s="232"/>
      <c r="E34" s="233"/>
      <c r="F34" s="15" t="s">
        <v>399</v>
      </c>
      <c r="G34" s="15" t="s">
        <v>198</v>
      </c>
      <c r="H34" s="15" t="s">
        <v>400</v>
      </c>
      <c r="I34" s="15" t="s">
        <v>399</v>
      </c>
    </row>
    <row r="35" spans="1:9" x14ac:dyDescent="0.25">
      <c r="A35" s="234" t="s">
        <v>50</v>
      </c>
      <c r="B35" s="235"/>
      <c r="C35" s="235"/>
      <c r="D35" s="235"/>
      <c r="E35" s="236"/>
      <c r="F35" s="18">
        <v>0</v>
      </c>
      <c r="G35" s="19" t="s">
        <v>50</v>
      </c>
      <c r="H35" s="19" t="s">
        <v>50</v>
      </c>
      <c r="I35" s="18">
        <f>F35</f>
        <v>0</v>
      </c>
    </row>
    <row r="36" spans="1:9" x14ac:dyDescent="0.25">
      <c r="A36" s="221" t="s">
        <v>406</v>
      </c>
      <c r="B36" s="222"/>
      <c r="C36" s="222"/>
      <c r="D36" s="222"/>
      <c r="E36" s="223"/>
      <c r="F36" s="20" t="s">
        <v>50</v>
      </c>
      <c r="G36" s="21" t="s">
        <v>50</v>
      </c>
      <c r="H36" s="21" t="s">
        <v>50</v>
      </c>
      <c r="I36" s="22">
        <f>SUM(I35:I35)</f>
        <v>0</v>
      </c>
    </row>
  </sheetData>
  <mergeCells count="51">
    <mergeCell ref="A1:I1"/>
    <mergeCell ref="A2:B3"/>
    <mergeCell ref="A4:B5"/>
    <mergeCell ref="A6:B7"/>
    <mergeCell ref="A8:B9"/>
    <mergeCell ref="H2:H3"/>
    <mergeCell ref="H4:H5"/>
    <mergeCell ref="H6:H7"/>
    <mergeCell ref="H8:H9"/>
    <mergeCell ref="I2:I3"/>
    <mergeCell ref="I4:I5"/>
    <mergeCell ref="I6:I7"/>
    <mergeCell ref="I8:I9"/>
    <mergeCell ref="E2:E3"/>
    <mergeCell ref="E4:E5"/>
    <mergeCell ref="E6:E7"/>
    <mergeCell ref="E8:E9"/>
    <mergeCell ref="E10:E11"/>
    <mergeCell ref="F2:G3"/>
    <mergeCell ref="F4:G5"/>
    <mergeCell ref="F6:G7"/>
    <mergeCell ref="F8:G9"/>
    <mergeCell ref="F10:G11"/>
    <mergeCell ref="C2:D3"/>
    <mergeCell ref="C4:D5"/>
    <mergeCell ref="C6:D7"/>
    <mergeCell ref="C8:D9"/>
    <mergeCell ref="C10:D11"/>
    <mergeCell ref="I10:I11"/>
    <mergeCell ref="A13:E13"/>
    <mergeCell ref="A14:E14"/>
    <mergeCell ref="A15:E15"/>
    <mergeCell ref="A16:E16"/>
    <mergeCell ref="H10:H11"/>
    <mergeCell ref="A10:B11"/>
    <mergeCell ref="A17:E17"/>
    <mergeCell ref="A18:E18"/>
    <mergeCell ref="A20:E20"/>
    <mergeCell ref="A21:E21"/>
    <mergeCell ref="A22:E22"/>
    <mergeCell ref="A23:E23"/>
    <mergeCell ref="A24:E24"/>
    <mergeCell ref="A25:E25"/>
    <mergeCell ref="A26:E26"/>
    <mergeCell ref="A27:E27"/>
    <mergeCell ref="A36:E36"/>
    <mergeCell ref="A29:E29"/>
    <mergeCell ref="F29:I29"/>
    <mergeCell ref="A33:E33"/>
    <mergeCell ref="A34:E34"/>
    <mergeCell ref="A35:E35"/>
  </mergeCells>
  <pageMargins left="0.393999993801117" right="0.393999993801117" top="0.59100002050399802" bottom="0.59100002050399802" header="0" footer="0"/>
  <pageSetup fitToHeight="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Krycí list rozpočtu</vt:lpstr>
      <vt:lpstr>Stavební rozpočet</vt:lpstr>
      <vt:lpstr>VORN</vt:lpstr>
      <vt:lpstr>vorn_sum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Kubíková Liběna Mgr.</cp:lastModifiedBy>
  <dcterms:created xsi:type="dcterms:W3CDTF">2021-06-10T20:06:38Z</dcterms:created>
  <dcterms:modified xsi:type="dcterms:W3CDTF">2024-06-10T08:04:40Z</dcterms:modified>
</cp:coreProperties>
</file>